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2a8522b779a0b8/Documents/AKTUS/ERM/"/>
    </mc:Choice>
  </mc:AlternateContent>
  <xr:revisionPtr revIDLastSave="7" documentId="8_{9232165B-D4B6-4F40-ACC3-0D9A9AFEE70A}" xr6:coauthVersionLast="47" xr6:coauthVersionMax="47" xr10:uidLastSave="{BC75151C-8994-4478-AD49-93BF35790A0F}"/>
  <bookViews>
    <workbookView xWindow="-108" yWindow="-108" windowWidth="23256" windowHeight="12576" activeTab="4" xr2:uid="{C2AF0818-CFD7-4905-80E9-64C3FB900C4C}"/>
  </bookViews>
  <sheets>
    <sheet name="General comments" sheetId="5" r:id="rId1"/>
    <sheet name="ERM (1)" sheetId="4" r:id="rId2"/>
    <sheet name="ERM (2)" sheetId="1" r:id="rId3"/>
    <sheet name="P-L" sheetId="2" r:id="rId4"/>
    <sheet name="Report" sheetId="3" r:id="rId5"/>
    <sheet name="Other" sheetId="6" r:id="rId6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2" hidden="1">'ERM (2)'!$A$1:$F$30</definedName>
    <definedName name="Pal_Workbook_GUID" hidden="1">"4WQ1M1Z11A4WAHSD96M78QL2"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"$F$28"</definedName>
    <definedName name="RiskSelectedNameCell1" hidden="1">"$A$14"</definedName>
    <definedName name="RiskSelectedNameCell2" hidden="1">"$F$4"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6" l="1"/>
  <c r="F25" i="2"/>
  <c r="F18" i="2"/>
  <c r="F10" i="2"/>
  <c r="F6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I22" i="1"/>
  <c r="I21" i="1"/>
  <c r="I19" i="1"/>
  <c r="I18" i="1"/>
  <c r="I15" i="1"/>
  <c r="I13" i="1"/>
  <c r="I12" i="1"/>
  <c r="I9" i="1"/>
  <c r="I8" i="1"/>
  <c r="I7" i="1"/>
  <c r="N19" i="2"/>
  <c r="K17" i="2"/>
  <c r="N17" i="2"/>
  <c r="J12" i="1"/>
  <c r="E14" i="4"/>
  <c r="E11" i="4"/>
  <c r="E7" i="4"/>
  <c r="E6" i="4"/>
  <c r="F28" i="1"/>
  <c r="I28" i="1"/>
  <c r="H28" i="1"/>
  <c r="F27" i="1"/>
  <c r="I27" i="1"/>
  <c r="F24" i="1"/>
  <c r="I24" i="1"/>
  <c r="I23" i="1"/>
  <c r="J23" i="1"/>
  <c r="H23" i="1"/>
  <c r="J19" i="1"/>
  <c r="I30" i="1"/>
  <c r="J30" i="1"/>
  <c r="I29" i="1"/>
  <c r="J29" i="1"/>
  <c r="H29" i="1"/>
  <c r="I25" i="1"/>
  <c r="J25" i="1"/>
  <c r="I14" i="1"/>
  <c r="J14" i="1"/>
  <c r="J15" i="1"/>
  <c r="J22" i="1"/>
  <c r="J21" i="1"/>
  <c r="J18" i="1"/>
  <c r="J13" i="1"/>
  <c r="H13" i="1"/>
  <c r="H30" i="1"/>
  <c r="H25" i="1"/>
  <c r="H19" i="1"/>
  <c r="H21" i="1"/>
  <c r="K4" i="1"/>
  <c r="K3" i="1"/>
  <c r="I26" i="1"/>
  <c r="H11" i="1"/>
  <c r="H14" i="1"/>
  <c r="H12" i="1"/>
  <c r="J7" i="1"/>
  <c r="H7" i="1"/>
  <c r="E20" i="4"/>
  <c r="C14" i="1"/>
  <c r="J9" i="1"/>
  <c r="J8" i="1"/>
  <c r="D21" i="2"/>
  <c r="D23" i="2"/>
  <c r="D28" i="2"/>
  <c r="H9" i="1"/>
  <c r="I16" i="1"/>
  <c r="J16" i="1"/>
  <c r="J11" i="1"/>
  <c r="I20" i="1"/>
  <c r="H20" i="1"/>
  <c r="J26" i="1"/>
  <c r="H26" i="1"/>
  <c r="J20" i="1"/>
  <c r="H16" i="1"/>
  <c r="H27" i="1"/>
  <c r="J27" i="1"/>
  <c r="J28" i="1"/>
  <c r="H8" i="1"/>
  <c r="H24" i="1"/>
  <c r="J24" i="1"/>
  <c r="H22" i="1"/>
  <c r="H15" i="1"/>
  <c r="H18" i="1"/>
  <c r="K32" i="1" l="1"/>
  <c r="F7" i="2" s="1"/>
  <c r="F8" i="2" s="1"/>
  <c r="K34" i="1"/>
  <c r="F19" i="2" s="1"/>
  <c r="F20" i="2" s="1"/>
  <c r="K35" i="1"/>
  <c r="F26" i="2" s="1"/>
  <c r="K33" i="1"/>
  <c r="F11" i="2" s="1"/>
  <c r="F12" i="2" s="1"/>
  <c r="M10" i="2"/>
  <c r="M7" i="2"/>
  <c r="F16" i="2" l="1"/>
  <c r="F14" i="2"/>
  <c r="K7" i="2"/>
  <c r="K10" i="2"/>
  <c r="F15" i="2"/>
  <c r="M8" i="2"/>
  <c r="L7" i="2"/>
  <c r="L10" i="2"/>
  <c r="M9" i="2" l="1"/>
  <c r="F21" i="2"/>
  <c r="F23" i="2" s="1"/>
  <c r="F28" i="2" s="1"/>
  <c r="K8" i="2"/>
  <c r="L8" i="2"/>
  <c r="J10" i="2"/>
  <c r="J7" i="2"/>
  <c r="L9" i="2" l="1"/>
  <c r="K9" i="2"/>
  <c r="J8" i="2"/>
  <c r="J9" i="2" l="1"/>
</calcChain>
</file>

<file path=xl/sharedStrings.xml><?xml version="1.0" encoding="utf-8"?>
<sst xmlns="http://schemas.openxmlformats.org/spreadsheetml/2006/main" count="339" uniqueCount="186">
  <si>
    <t>HANLAS Manufacturing</t>
  </si>
  <si>
    <t>ERM Register</t>
  </si>
  <si>
    <t>Risk
Number</t>
  </si>
  <si>
    <t>Name</t>
  </si>
  <si>
    <t>Likelihood</t>
  </si>
  <si>
    <t>Expected</t>
  </si>
  <si>
    <t>Risk Assessment</t>
  </si>
  <si>
    <t>Type</t>
  </si>
  <si>
    <t>Range Factor</t>
  </si>
  <si>
    <t>R</t>
  </si>
  <si>
    <t>New competitor in key market</t>
  </si>
  <si>
    <t>A strong new competitor emerges in a key market, and reduce our market share and revenue</t>
  </si>
  <si>
    <t>C</t>
  </si>
  <si>
    <t>Vendor disruption</t>
  </si>
  <si>
    <t>A key vendor is unable to deliver, and halts manufacturing for 4 weeks</t>
  </si>
  <si>
    <t>Simplified P/L</t>
  </si>
  <si>
    <t>Item</t>
  </si>
  <si>
    <t>Min</t>
  </si>
  <si>
    <t>Max</t>
  </si>
  <si>
    <t>Gross Contribution</t>
  </si>
  <si>
    <t>Fixed Costs</t>
  </si>
  <si>
    <t>Revenue/Demand</t>
  </si>
  <si>
    <t>Budget</t>
  </si>
  <si>
    <t>Mio. $ Value</t>
  </si>
  <si>
    <t>Net Demand</t>
  </si>
  <si>
    <t>Supply Capacity</t>
  </si>
  <si>
    <t>Net supply capacity</t>
  </si>
  <si>
    <t>Net Revenue</t>
  </si>
  <si>
    <t>V</t>
  </si>
  <si>
    <t>F</t>
  </si>
  <si>
    <t>Strike</t>
  </si>
  <si>
    <t>Main facility hampered by strike over a period of 3 weeks. Union agreements up for renegitiation</t>
  </si>
  <si>
    <t>Currency Impact</t>
  </si>
  <si>
    <t>Net currency impact</t>
  </si>
  <si>
    <t>Material costs</t>
  </si>
  <si>
    <t>Chinese market close-down</t>
  </si>
  <si>
    <t>For political reasons, the Chinese market is "closed"</t>
  </si>
  <si>
    <t>Reputational Loss</t>
  </si>
  <si>
    <t>Being caught on bad behaviour, we loose revenue</t>
  </si>
  <si>
    <t>We are fined based on being caught in bad behaviour</t>
  </si>
  <si>
    <t>Key component shortage</t>
  </si>
  <si>
    <t>A key component cannot be procured, leading to a 6 week halt of manufacturing</t>
  </si>
  <si>
    <t>Labour cost increase</t>
  </si>
  <si>
    <t>Based on negitiations, labour costs/rates exceed budgeted level</t>
  </si>
  <si>
    <t>New Product launch volume</t>
  </si>
  <si>
    <t>Uncertainty as to revenue level of new product line</t>
  </si>
  <si>
    <t>Price competition</t>
  </si>
  <si>
    <t>Significant price competition leads to lower revenue</t>
  </si>
  <si>
    <t>Material transport stalled</t>
  </si>
  <si>
    <t>Shipment from vendor to us is stalled, leading to a 2 week loss of capacity</t>
  </si>
  <si>
    <t>Shipment costs increase</t>
  </si>
  <si>
    <t>Description of expected case</t>
  </si>
  <si>
    <t>Shipment capacity shortage leads to 20% higher shipment prices/costs</t>
  </si>
  <si>
    <t>Market growth</t>
  </si>
  <si>
    <t>Change in consumer demands leads to 5% market growth and hence growth of our revenue</t>
  </si>
  <si>
    <t>Competitor "drop-out"</t>
  </si>
  <si>
    <t>A key competitor is bankrupt and drop out of teh market, leaving a bigger market for us</t>
  </si>
  <si>
    <t>Overhead overload</t>
  </si>
  <si>
    <t>Organisational overload leads to added fixed costs</t>
  </si>
  <si>
    <t>Productivity boost</t>
  </si>
  <si>
    <t>Engineering project leads to a 5% of overall productivity and hence capacity</t>
  </si>
  <si>
    <t>Project savings</t>
  </si>
  <si>
    <t>Projects are, overall, unable to deliver targeted savings</t>
  </si>
  <si>
    <t>Electicity cost increase</t>
  </si>
  <si>
    <t>Inflation leads to 50% increase in electricity costs</t>
  </si>
  <si>
    <t>Staff shortage</t>
  </si>
  <si>
    <t>High employments makes it imposisbel to attract needed staff, resulting in a 5% reduction of capacity</t>
  </si>
  <si>
    <t>Cyber risk stalls manufacturing</t>
  </si>
  <si>
    <t>Some cyber attack stalls supply for 10 weeks</t>
  </si>
  <si>
    <t>Cyber attack/ransomware</t>
  </si>
  <si>
    <t>Ransomware attack leads to massive added costs</t>
  </si>
  <si>
    <t>3rd party breach of ethics</t>
  </si>
  <si>
    <t>Market shortage leads to change in material costs which cannot be relayed to sales price</t>
  </si>
  <si>
    <t>Capacity constraint</t>
  </si>
  <si>
    <t>ERM Report</t>
  </si>
  <si>
    <t>Likelihood of capacity constraint</t>
  </si>
  <si>
    <t>Demand uncertainty impact</t>
  </si>
  <si>
    <t>Supply uncertainty impact</t>
  </si>
  <si>
    <t>Fixed cost uncertainty impact</t>
  </si>
  <si>
    <t>Variable costs - % of revenue</t>
  </si>
  <si>
    <t>Variable costs</t>
  </si>
  <si>
    <t>Variable costs uncertainty impact</t>
  </si>
  <si>
    <t>Profit</t>
  </si>
  <si>
    <t>Impact</t>
  </si>
  <si>
    <t>Reputational fine</t>
  </si>
  <si>
    <t>Reputational revenue loss</t>
  </si>
  <si>
    <t>Owner</t>
  </si>
  <si>
    <t>Actions Taken</t>
  </si>
  <si>
    <t>CM</t>
  </si>
  <si>
    <t>CO</t>
  </si>
  <si>
    <t>PO</t>
  </si>
  <si>
    <t>MO</t>
  </si>
  <si>
    <t>RD</t>
  </si>
  <si>
    <t>MH</t>
  </si>
  <si>
    <t>LO</t>
  </si>
  <si>
    <t>FO</t>
  </si>
  <si>
    <t>PM</t>
  </si>
  <si>
    <t>HRO</t>
  </si>
  <si>
    <t>IO</t>
  </si>
  <si>
    <t>Close market monitoring
Competitive strategy to be invoked</t>
  </si>
  <si>
    <t>Close monitoring
Duplication of key vendors</t>
  </si>
  <si>
    <t>Careful negotiations</t>
  </si>
  <si>
    <t>Close monitoring</t>
  </si>
  <si>
    <t>Ethics approach/training roll-out</t>
  </si>
  <si>
    <t>Legal monitoring
Ethics approach/training roll-out</t>
  </si>
  <si>
    <t>Market monitoring
Dual sourcing</t>
  </si>
  <si>
    <t>Close market monitoring
Action plan to be invoked</t>
  </si>
  <si>
    <t>Inventory policy
Duplication of transport</t>
  </si>
  <si>
    <t>Hedging/Long term collaboration</t>
  </si>
  <si>
    <t>Change load monitoring
Close prioritization when needed</t>
  </si>
  <si>
    <t>Project risk management</t>
  </si>
  <si>
    <t>Hedging/long term contracts</t>
  </si>
  <si>
    <t>High employments makes it imposisble to attract needed staff, resulting in a 5% reduction of capacity</t>
  </si>
  <si>
    <t>Flexible benefits for key employees</t>
  </si>
  <si>
    <t>Close monitoring
Extensive cyber risk assurance</t>
  </si>
  <si>
    <t>3rd party behaviour invokes a fine on the company</t>
  </si>
  <si>
    <t>Close collaboration</t>
  </si>
  <si>
    <t>EBIT
Impact</t>
  </si>
  <si>
    <t>Comment</t>
  </si>
  <si>
    <t>Flow through profit</t>
  </si>
  <si>
    <t>Exp</t>
  </si>
  <si>
    <t>General Comments</t>
  </si>
  <si>
    <t>These are risk to the revenue</t>
  </si>
  <si>
    <t>Risk assessment is based on EBIT impact, and recalculated based on flow through profit</t>
  </si>
  <si>
    <t>Risks are reversed to be negative to reflect loss of sales</t>
  </si>
  <si>
    <t>Risks are reversed to be negative to reflect loss of capacity, and hence potentially sales</t>
  </si>
  <si>
    <t>These are risk to the supply capacity and assumed affecting sales if capacity &lt; demand</t>
  </si>
  <si>
    <t>These are risks to variable costs</t>
  </si>
  <si>
    <t>Risk assessments are based on EBIT impact at budget volume</t>
  </si>
  <si>
    <t>Values are recalculated to be a %of sales based on the budgeted sales</t>
  </si>
  <si>
    <t>Total/consolidated variable cost ratio is applied to simulated sales</t>
  </si>
  <si>
    <t>These are risks to fixed costs</t>
  </si>
  <si>
    <t>These are applied as is</t>
  </si>
  <si>
    <t>Budgted Revenue</t>
  </si>
  <si>
    <t>Planned Capacity</t>
  </si>
  <si>
    <t>From P/L</t>
  </si>
  <si>
    <t>Assessment made</t>
  </si>
  <si>
    <t>Negative as this is a lever</t>
  </si>
  <si>
    <t>Assessment is negative as a lever
Calculation increases capacity</t>
  </si>
  <si>
    <t>Assessment made &amp; recalculated to become share of sales</t>
  </si>
  <si>
    <t>Negative as it reduces capacity</t>
  </si>
  <si>
    <t>Negative as it reduces sales</t>
  </si>
  <si>
    <t>Good</t>
  </si>
  <si>
    <t>Bad</t>
  </si>
  <si>
    <t>Revenue</t>
  </si>
  <si>
    <t>Demand</t>
  </si>
  <si>
    <t>Delivery</t>
  </si>
  <si>
    <t>Performance Overview</t>
  </si>
  <si>
    <t>So-So</t>
  </si>
  <si>
    <t>Disaster</t>
  </si>
  <si>
    <t>Demand &amp; Revenue</t>
  </si>
  <si>
    <t>Capacity</t>
  </si>
  <si>
    <t>Disaster
below</t>
  </si>
  <si>
    <t>Good
Above</t>
  </si>
  <si>
    <t>So-So
Above</t>
  </si>
  <si>
    <t xml:space="preserve">  
</t>
  </si>
  <si>
    <t>Performance
Frames</t>
  </si>
  <si>
    <t xml:space="preserve"> ROS/Absolute number</t>
  </si>
  <si>
    <t>Net variable cost ratio</t>
  </si>
  <si>
    <t>Assessment made based on hedging</t>
  </si>
  <si>
    <t xml:space="preserve">  
  </t>
  </si>
  <si>
    <t>These impact numbers are relayed to the P/L model as outcomes by category</t>
  </si>
  <si>
    <t>Uncertainties are shown to have 100% likelihood and an expected value of 0. Min and max are defined separately</t>
  </si>
  <si>
    <t>Whether or not a risk materializes is based on a Bernoulli distribution assuming any risk may only happen once within the year (if at all)</t>
  </si>
  <si>
    <t>Impact is defined using the PERT distribution where low/high are absolute minimum and maximun values.</t>
  </si>
  <si>
    <t>Model can (easily) be made more "real life" by defining that there is e.g., a 90% likelihood of being between the defined low/high</t>
  </si>
  <si>
    <t xml:space="preserve">  and then use the PertAlt distribution with the e.g., 5%, most likeliy and 95% percentiles are frames.</t>
  </si>
  <si>
    <t>If used, it is recommended to let this confidence interval be a variable allowing you to "play" with higher levels of uncertainty</t>
  </si>
  <si>
    <t>Alternatively ne may use the Poisson distribution, allowing each risk to happen more than once within a budget year.</t>
  </si>
  <si>
    <t>Other comments</t>
  </si>
  <si>
    <t>Uncertainties</t>
  </si>
  <si>
    <t>Likelihood/</t>
  </si>
  <si>
    <t>happening</t>
  </si>
  <si>
    <t>Impact range</t>
  </si>
  <si>
    <t>definition</t>
  </si>
  <si>
    <r>
      <rPr>
        <b/>
        <sz val="11"/>
        <color theme="1"/>
        <rFont val="Arial"/>
        <family val="2"/>
      </rPr>
      <t>Translating</t>
    </r>
    <r>
      <rPr>
        <sz val="11"/>
        <color theme="1"/>
        <rFont val="Arial"/>
        <family val="2"/>
      </rPr>
      <t xml:space="preserve"> from "original" to recalculated values based on a set of systematic rules/approachs - defined by type</t>
    </r>
  </si>
  <si>
    <t>Likelihood of materializing</t>
  </si>
  <si>
    <t>MC Sim
Results</t>
  </si>
  <si>
    <t>Between these</t>
  </si>
  <si>
    <t>High</t>
  </si>
  <si>
    <t>Medium</t>
  </si>
  <si>
    <t>Low</t>
  </si>
  <si>
    <t>Profit vs Revenue</t>
  </si>
  <si>
    <t>Performance</t>
  </si>
  <si>
    <t>Key issues</t>
  </si>
  <si>
    <t>MCS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</si>
</sst>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sz val="11"/>
      <color rgb="FFFFFF00"/>
      <name val="Arial"/>
      <family val="2"/>
    </font>
    <font>
      <sz val="11"/>
      <color rgb="FFFF0000"/>
      <name val="Arial"/>
      <family val="2"/>
    </font>
    <font>
      <sz val="11"/>
      <color rgb="FF00FF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9" fontId="2" fillId="0" borderId="0" xfId="0" applyNumberFormat="1" applyFont="1" applyAlignment="1">
      <alignment horizontal="right" vertical="top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9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1" fontId="2" fillId="0" borderId="0" xfId="0" applyNumberFormat="1" applyFont="1" applyAlignment="1">
      <alignment vertical="top"/>
    </xf>
    <xf numFmtId="9" fontId="2" fillId="0" borderId="0" xfId="1" applyFont="1"/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" xfId="0" applyFont="1" applyBorder="1"/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0" xfId="0" applyNumberFormat="1" applyFont="1"/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/>
    <xf numFmtId="3" fontId="9" fillId="0" borderId="0" xfId="0" applyNumberFormat="1" applyFont="1" applyAlignment="1">
      <alignment horizontal="right"/>
    </xf>
    <xf numFmtId="3" fontId="5" fillId="0" borderId="0" xfId="0" applyNumberFormat="1" applyFont="1"/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vertical="top"/>
    </xf>
    <xf numFmtId="3" fontId="5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0" fontId="2" fillId="0" borderId="0" xfId="0" applyFont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2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 wrapText="1" indent="1"/>
    </xf>
    <xf numFmtId="9" fontId="9" fillId="0" borderId="0" xfId="1" applyFont="1"/>
    <xf numFmtId="0" fontId="4" fillId="0" borderId="0" xfId="0" applyFont="1"/>
    <xf numFmtId="3" fontId="9" fillId="0" borderId="0" xfId="1" applyNumberFormat="1" applyFont="1"/>
    <xf numFmtId="164" fontId="2" fillId="0" borderId="0" xfId="1" applyNumberFormat="1" applyFont="1" applyAlignment="1">
      <alignment vertical="top"/>
    </xf>
    <xf numFmtId="0" fontId="2" fillId="0" borderId="0" xfId="0" applyFont="1" applyAlignment="1">
      <alignment horizontal="left" wrapText="1" indent="1"/>
    </xf>
    <xf numFmtId="0" fontId="3" fillId="0" borderId="1" xfId="0" applyFont="1" applyBorder="1" applyAlignment="1">
      <alignment horizontal="left" wrapText="1" indent="1"/>
    </xf>
    <xf numFmtId="164" fontId="2" fillId="0" borderId="0" xfId="1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3" fillId="0" borderId="9" xfId="0" applyFont="1" applyBorder="1"/>
    <xf numFmtId="9" fontId="2" fillId="0" borderId="0" xfId="1" applyFont="1" applyBorder="1"/>
    <xf numFmtId="9" fontId="2" fillId="0" borderId="5" xfId="1" applyFont="1" applyBorder="1"/>
    <xf numFmtId="0" fontId="3" fillId="0" borderId="10" xfId="0" applyFont="1" applyBorder="1"/>
    <xf numFmtId="9" fontId="2" fillId="0" borderId="4" xfId="1" applyFont="1" applyBorder="1"/>
    <xf numFmtId="9" fontId="2" fillId="0" borderId="6" xfId="1" applyFont="1" applyBorder="1"/>
    <xf numFmtId="0" fontId="2" fillId="0" borderId="11" xfId="0" applyFont="1" applyBorder="1"/>
    <xf numFmtId="3" fontId="2" fillId="0" borderId="5" xfId="0" applyNumberFormat="1" applyFont="1" applyBorder="1"/>
    <xf numFmtId="9" fontId="2" fillId="0" borderId="5" xfId="0" applyNumberFormat="1" applyFont="1" applyBorder="1"/>
    <xf numFmtId="0" fontId="2" fillId="0" borderId="12" xfId="0" applyFont="1" applyBorder="1"/>
    <xf numFmtId="9" fontId="2" fillId="0" borderId="4" xfId="0" applyNumberFormat="1" applyFont="1" applyBorder="1"/>
    <xf numFmtId="3" fontId="2" fillId="0" borderId="6" xfId="0" applyNumberFormat="1" applyFont="1" applyBorder="1"/>
    <xf numFmtId="0" fontId="3" fillId="0" borderId="2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2" fillId="0" borderId="5" xfId="0" applyFont="1" applyBorder="1"/>
    <xf numFmtId="0" fontId="2" fillId="0" borderId="6" xfId="0" applyFont="1" applyBorder="1"/>
    <xf numFmtId="9" fontId="2" fillId="3" borderId="0" xfId="0" applyNumberFormat="1" applyFont="1" applyFill="1" applyAlignment="1">
      <alignment horizontal="right" vertical="top"/>
    </xf>
    <xf numFmtId="3" fontId="2" fillId="3" borderId="0" xfId="0" applyNumberFormat="1" applyFont="1" applyFill="1" applyAlignment="1">
      <alignment horizontal="right" vertical="top"/>
    </xf>
    <xf numFmtId="3" fontId="5" fillId="3" borderId="0" xfId="0" applyNumberFormat="1" applyFont="1" applyFill="1" applyAlignment="1">
      <alignment vertical="top"/>
    </xf>
    <xf numFmtId="3" fontId="2" fillId="3" borderId="0" xfId="0" applyNumberFormat="1" applyFont="1" applyFill="1" applyAlignment="1">
      <alignment vertical="top"/>
    </xf>
    <xf numFmtId="164" fontId="2" fillId="3" borderId="0" xfId="1" applyNumberFormat="1" applyFont="1" applyFill="1" applyAlignment="1">
      <alignment vertical="top"/>
    </xf>
    <xf numFmtId="9" fontId="2" fillId="4" borderId="0" xfId="0" applyNumberFormat="1" applyFont="1" applyFill="1" applyAlignment="1">
      <alignment horizontal="right" vertical="top"/>
    </xf>
    <xf numFmtId="3" fontId="2" fillId="4" borderId="0" xfId="0" applyNumberFormat="1" applyFont="1" applyFill="1" applyAlignment="1">
      <alignment horizontal="right" vertical="top"/>
    </xf>
    <xf numFmtId="3" fontId="5" fillId="4" borderId="0" xfId="0" applyNumberFormat="1" applyFont="1" applyFill="1" applyAlignment="1">
      <alignment vertical="top"/>
    </xf>
    <xf numFmtId="3" fontId="2" fillId="4" borderId="0" xfId="0" applyNumberFormat="1" applyFont="1" applyFill="1" applyAlignment="1">
      <alignment vertical="top"/>
    </xf>
    <xf numFmtId="3" fontId="3" fillId="5" borderId="0" xfId="0" applyNumberFormat="1" applyFont="1" applyFill="1" applyAlignment="1">
      <alignment vertical="top"/>
    </xf>
    <xf numFmtId="164" fontId="3" fillId="5" borderId="0" xfId="1" applyNumberFormat="1" applyFont="1" applyFill="1" applyAlignment="1">
      <alignment vertical="top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vertical="top"/>
    </xf>
    <xf numFmtId="0" fontId="2" fillId="7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2" fillId="8" borderId="0" xfId="0" applyFont="1" applyFill="1" applyAlignment="1">
      <alignment vertical="top"/>
    </xf>
    <xf numFmtId="0" fontId="3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 textRotation="90"/>
    </xf>
    <xf numFmtId="0" fontId="3" fillId="8" borderId="0" xfId="0" applyFont="1" applyFill="1" applyAlignment="1">
      <alignment horizontal="right" vertical="center" indent="1"/>
    </xf>
    <xf numFmtId="0" fontId="2" fillId="8" borderId="0" xfId="0" applyFont="1" applyFill="1" applyAlignment="1">
      <alignment horizontal="right" vertical="top" inden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 inden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9" fontId="10" fillId="2" borderId="0" xfId="0" applyNumberFormat="1" applyFont="1" applyFill="1" applyAlignment="1">
      <alignment horizontal="right" vertical="top"/>
    </xf>
    <xf numFmtId="3" fontId="10" fillId="2" borderId="0" xfId="0" applyNumberFormat="1" applyFont="1" applyFill="1" applyAlignment="1">
      <alignment horizontal="right" vertical="top"/>
    </xf>
    <xf numFmtId="3" fontId="11" fillId="7" borderId="0" xfId="0" applyNumberFormat="1" applyFont="1" applyFill="1" applyAlignment="1">
      <alignment horizontal="right" vertical="top"/>
    </xf>
    <xf numFmtId="9" fontId="11" fillId="7" borderId="0" xfId="0" applyNumberFormat="1" applyFont="1" applyFill="1" applyAlignment="1">
      <alignment horizontal="right" vertical="top"/>
    </xf>
    <xf numFmtId="3" fontId="12" fillId="6" borderId="0" xfId="0" applyNumberFormat="1" applyFont="1" applyFill="1" applyAlignment="1">
      <alignment horizontal="right" vertical="top"/>
    </xf>
    <xf numFmtId="9" fontId="12" fillId="6" borderId="0" xfId="0" applyNumberFormat="1" applyFont="1" applyFill="1" applyAlignment="1">
      <alignment horizontal="right" vertical="top"/>
    </xf>
    <xf numFmtId="9" fontId="0" fillId="0" borderId="0" xfId="0" applyNumberFormat="1"/>
    <xf numFmtId="2" fontId="0" fillId="0" borderId="0" xfId="0" applyNumberFormat="1"/>
  </cellXfs>
  <cellStyles count="2">
    <cellStyle name="Normal" xfId="0" builtinId="0"/>
    <cellStyle name="Percent" xfId="1" builtinId="5"/>
  </cellStyles>
  <dxfs count="26"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Heat Map - HANLAS Manufanufacturing</a:t>
            </a:r>
          </a:p>
        </c:rich>
      </c:tx>
      <c:layout>
        <c:manualLayout>
          <c:xMode val="edge"/>
          <c:yMode val="edge"/>
          <c:x val="0.18353303011781066"/>
          <c:y val="2.34741784037558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077005055576106"/>
          <c:y val="0.12591242996033947"/>
          <c:w val="0.83620858214870797"/>
          <c:h val="0.7842860311475150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xVal>
            <c:numRef>
              <c:f>'ERM (1)'!$D$5:$D$22</c:f>
              <c:numCache>
                <c:formatCode>0%</c:formatCode>
                <c:ptCount val="18"/>
                <c:pt idx="0">
                  <c:v>0.1</c:v>
                </c:pt>
                <c:pt idx="1">
                  <c:v>0.2</c:v>
                </c:pt>
                <c:pt idx="2">
                  <c:v>0.1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0.09</c:v>
                </c:pt>
                <c:pt idx="6">
                  <c:v>0.03</c:v>
                </c:pt>
                <c:pt idx="7">
                  <c:v>0.16</c:v>
                </c:pt>
                <c:pt idx="8">
                  <c:v>0.05</c:v>
                </c:pt>
                <c:pt idx="9">
                  <c:v>0.1</c:v>
                </c:pt>
                <c:pt idx="10">
                  <c:v>0.08</c:v>
                </c:pt>
                <c:pt idx="11">
                  <c:v>0.17</c:v>
                </c:pt>
                <c:pt idx="12">
                  <c:v>0.23</c:v>
                </c:pt>
                <c:pt idx="13">
                  <c:v>7.0000000000000007E-2</c:v>
                </c:pt>
                <c:pt idx="14">
                  <c:v>0.2</c:v>
                </c:pt>
                <c:pt idx="15">
                  <c:v>0.05</c:v>
                </c:pt>
                <c:pt idx="16">
                  <c:v>0.12</c:v>
                </c:pt>
                <c:pt idx="17">
                  <c:v>0.03</c:v>
                </c:pt>
              </c:numCache>
            </c:numRef>
          </c:xVal>
          <c:yVal>
            <c:numRef>
              <c:f>'ERM (1)'!$E$5:$E$22</c:f>
              <c:numCache>
                <c:formatCode>#,##0</c:formatCode>
                <c:ptCount val="18"/>
                <c:pt idx="0">
                  <c:v>180</c:v>
                </c:pt>
                <c:pt idx="1">
                  <c:v>96</c:v>
                </c:pt>
                <c:pt idx="2">
                  <c:v>72</c:v>
                </c:pt>
                <c:pt idx="3">
                  <c:v>250</c:v>
                </c:pt>
                <c:pt idx="4">
                  <c:v>100</c:v>
                </c:pt>
                <c:pt idx="5">
                  <c:v>100</c:v>
                </c:pt>
                <c:pt idx="6">
                  <c:v>144</c:v>
                </c:pt>
                <c:pt idx="7">
                  <c:v>40</c:v>
                </c:pt>
                <c:pt idx="8">
                  <c:v>150</c:v>
                </c:pt>
                <c:pt idx="9">
                  <c:v>48</c:v>
                </c:pt>
                <c:pt idx="10">
                  <c:v>12</c:v>
                </c:pt>
                <c:pt idx="11">
                  <c:v>100</c:v>
                </c:pt>
                <c:pt idx="12">
                  <c:v>90</c:v>
                </c:pt>
                <c:pt idx="13">
                  <c:v>30</c:v>
                </c:pt>
                <c:pt idx="14">
                  <c:v>180</c:v>
                </c:pt>
                <c:pt idx="15">
                  <c:v>480</c:v>
                </c:pt>
                <c:pt idx="16">
                  <c:v>250</c:v>
                </c:pt>
                <c:pt idx="17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5D-40D7-9530-BDF717B55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565544"/>
        <c:axId val="432564888"/>
      </c:scatterChart>
      <c:valAx>
        <c:axId val="432565544"/>
        <c:scaling>
          <c:orientation val="minMax"/>
          <c:max val="0.24000000000000002"/>
          <c:min val="0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2564888"/>
        <c:crosses val="autoZero"/>
        <c:crossBetween val="midCat"/>
        <c:majorUnit val="8.0000000000000016E-2"/>
      </c:valAx>
      <c:valAx>
        <c:axId val="432564888"/>
        <c:scaling>
          <c:orientation val="minMax"/>
          <c:max val="510"/>
          <c:min val="0"/>
        </c:scaling>
        <c:delete val="0"/>
        <c:axPos val="l"/>
        <c:numFmt formatCode="#,##0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2565544"/>
        <c:crosses val="autoZero"/>
        <c:crossBetween val="midCat"/>
        <c:majorUnit val="17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latin typeface="Arial" panose="020B0604020202020204" pitchFamily="34" charset="0"/>
                <a:cs typeface="Arial" panose="020B0604020202020204" pitchFamily="34" charset="0"/>
              </a:rPr>
              <a:t>Performance Overview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'P-L'!$I$7</c:f>
              <c:strCache>
                <c:ptCount val="1"/>
                <c:pt idx="0">
                  <c:v>Disaster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'P-L'!$J$6:$M$6</c:f>
              <c:strCache>
                <c:ptCount val="3"/>
                <c:pt idx="0">
                  <c:v>Profit</c:v>
                </c:pt>
                <c:pt idx="1">
                  <c:v>Delivery</c:v>
                </c:pt>
                <c:pt idx="2">
                  <c:v>Demand</c:v>
                </c:pt>
              </c:strCache>
            </c:strRef>
          </c:cat>
          <c:val>
            <c:numRef>
              <c:f>'P-L'!$J$7:$M$7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5-4587-98BA-31F47F9B5EA6}"/>
            </c:ext>
          </c:extLst>
        </c:ser>
        <c:ser>
          <c:idx val="1"/>
          <c:order val="1"/>
          <c:tx>
            <c:strRef>
              <c:f>'P-L'!$I$8</c:f>
              <c:strCache>
                <c:ptCount val="1"/>
                <c:pt idx="0">
                  <c:v>Bad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'P-L'!$J$6:$M$6</c:f>
              <c:strCache>
                <c:ptCount val="3"/>
                <c:pt idx="0">
                  <c:v>Profit</c:v>
                </c:pt>
                <c:pt idx="1">
                  <c:v>Delivery</c:v>
                </c:pt>
                <c:pt idx="2">
                  <c:v>Demand</c:v>
                </c:pt>
              </c:strCache>
            </c:strRef>
          </c:cat>
          <c:val>
            <c:numRef>
              <c:f>'P-L'!$J$8:$M$8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5-4587-98BA-31F47F9B5EA6}"/>
            </c:ext>
          </c:extLst>
        </c:ser>
        <c:ser>
          <c:idx val="2"/>
          <c:order val="2"/>
          <c:tx>
            <c:strRef>
              <c:f>'P-L'!$I$9</c:f>
              <c:strCache>
                <c:ptCount val="1"/>
                <c:pt idx="0">
                  <c:v>So-So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'P-L'!$J$6:$M$6</c:f>
              <c:strCache>
                <c:ptCount val="3"/>
                <c:pt idx="0">
                  <c:v>Profit</c:v>
                </c:pt>
                <c:pt idx="1">
                  <c:v>Delivery</c:v>
                </c:pt>
                <c:pt idx="2">
                  <c:v>Demand</c:v>
                </c:pt>
              </c:strCache>
            </c:strRef>
          </c:cat>
          <c:val>
            <c:numRef>
              <c:f>'P-L'!$J$9:$M$9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5-4587-98BA-31F47F9B5EA6}"/>
            </c:ext>
          </c:extLst>
        </c:ser>
        <c:ser>
          <c:idx val="3"/>
          <c:order val="3"/>
          <c:tx>
            <c:strRef>
              <c:f>'P-L'!$I$10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00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'P-L'!$J$6:$M$6</c:f>
              <c:strCache>
                <c:ptCount val="3"/>
                <c:pt idx="0">
                  <c:v>Profit</c:v>
                </c:pt>
                <c:pt idx="1">
                  <c:v>Delivery</c:v>
                </c:pt>
                <c:pt idx="2">
                  <c:v>Demand</c:v>
                </c:pt>
              </c:strCache>
            </c:strRef>
          </c:cat>
          <c:val>
            <c:numRef>
              <c:f>'P-L'!$J$10:$M$10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3-417F-9681-C4C48084E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overlap val="100"/>
        <c:axId val="846972656"/>
        <c:axId val="846974952"/>
      </c:barChart>
      <c:catAx>
        <c:axId val="846972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6974952"/>
        <c:crosses val="autoZero"/>
        <c:auto val="1"/>
        <c:lblAlgn val="ctr"/>
        <c:lblOffset val="100"/>
        <c:noMultiLvlLbl val="0"/>
      </c:catAx>
      <c:valAx>
        <c:axId val="84697495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469726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2" Type="http://schemas.openxmlformats.org/officeDocument/2006/relationships/image" Target="../media/image1.emf"/><Relationship Id="rId1" Type="http://schemas.openxmlformats.org/officeDocument/2006/relationships/chart" Target="../charts/chart2.xml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403860</xdr:colOff>
      <xdr:row>22</xdr:row>
      <xdr:rowOff>53340</xdr:rowOff>
    </xdr:from>
    <xdr:to>
      <xdr:col>12</xdr:col>
      <xdr:colOff>144780</xdr:colOff>
      <xdr:row>29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24F8CD-B2BF-13D6-08A4-C7A8EB28D1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167640</xdr:rowOff>
    </xdr:from>
    <xdr:to>
      <xdr:col>0</xdr:col>
      <xdr:colOff>7147560</xdr:colOff>
      <xdr:row>5</xdr:row>
      <xdr:rowOff>3916680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355F1E-E571-4B8A-B844-9CDE57E70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7048500</xdr:colOff>
      <xdr:row>8</xdr:row>
      <xdr:rowOff>3832860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89B9CCC-7771-8B22-CDDB-11B2485C5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64480"/>
          <a:ext cx="7048500" cy="383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7048500</xdr:colOff>
      <xdr:row>11</xdr:row>
      <xdr:rowOff>3832860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9A6B9D2-792D-1926-4469-EEDF43BEA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46920"/>
          <a:ext cx="7048500" cy="383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22860</xdr:rowOff>
    </xdr:from>
    <xdr:to>
      <xdr:col>1</xdr:col>
      <xdr:colOff>7048500</xdr:colOff>
      <xdr:row>11</xdr:row>
      <xdr:rowOff>3855720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8D5CA88A-31A9-92EA-D37C-EF5C70FA6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9669780"/>
          <a:ext cx="7048500" cy="383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7048500</xdr:colOff>
      <xdr:row>13</xdr:row>
      <xdr:rowOff>3832860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4632E9F-CDEC-F5BF-42D2-2E6A49819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54100"/>
          <a:ext cx="7048500" cy="383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7048500</xdr:colOff>
      <xdr:row>16</xdr:row>
      <xdr:rowOff>3832860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F5846B2-A75F-EF02-78BF-A364CC9F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36540"/>
          <a:ext cx="7048500" cy="383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7048500</xdr:colOff>
      <xdr:row>19</xdr:row>
      <xdr:rowOff>3832860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D85343A-4A71-F6E9-678B-F2480E966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18980"/>
          <a:ext cx="7048500" cy="383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7048500</xdr:colOff>
      <xdr:row>8</xdr:row>
      <xdr:rowOff>3832860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A8CDDED-4F6C-44E0-1BBF-EF69D1ACF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5364480"/>
          <a:ext cx="7048500" cy="383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7048500</xdr:colOff>
      <xdr:row>13</xdr:row>
      <xdr:rowOff>3832860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EBFFD0F6-B32C-1EE9-E104-EF5E4FF8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3754100"/>
          <a:ext cx="7048500" cy="383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7048500</xdr:colOff>
      <xdr:row>16</xdr:row>
      <xdr:rowOff>3832860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67A33B-ECE4-B048-2C11-753FA38A6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8036540"/>
          <a:ext cx="7048500" cy="383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0EE3D-B6E7-4480-AB95-13F20A07E4D1}">
  <dimension ref="A1:C30"/>
  <sheetViews>
    <sheetView topLeftCell="A7" workbookViewId="0">
      <selection activeCell="E8" sqref="E8"/>
    </sheetView>
  </sheetViews>
  <sheetFormatPr defaultRowHeight="13.8" x14ac:dyDescent="0.25"/>
  <cols>
    <col min="1" max="1" width="2.109375" style="1" customWidth="1"/>
    <col min="2" max="2" width="18.44140625" style="1" customWidth="1"/>
    <col min="3" max="16384" width="8.88671875" style="1"/>
  </cols>
  <sheetData>
    <row r="1" spans="1:3" ht="21" x14ac:dyDescent="0.4">
      <c r="A1" s="51" t="s">
        <v>121</v>
      </c>
    </row>
    <row r="3" spans="1:3" x14ac:dyDescent="0.25">
      <c r="A3" s="1" t="s">
        <v>175</v>
      </c>
    </row>
    <row r="4" spans="1:3" x14ac:dyDescent="0.25">
      <c r="B4" s="1" t="s">
        <v>9</v>
      </c>
      <c r="C4" s="1" t="s">
        <v>122</v>
      </c>
    </row>
    <row r="5" spans="1:3" x14ac:dyDescent="0.25">
      <c r="C5" s="1" t="s">
        <v>123</v>
      </c>
    </row>
    <row r="6" spans="1:3" x14ac:dyDescent="0.25">
      <c r="C6" s="1" t="s">
        <v>124</v>
      </c>
    </row>
    <row r="8" spans="1:3" x14ac:dyDescent="0.25">
      <c r="B8" s="1" t="s">
        <v>12</v>
      </c>
      <c r="C8" s="1" t="s">
        <v>126</v>
      </c>
    </row>
    <row r="9" spans="1:3" x14ac:dyDescent="0.25">
      <c r="C9" s="1" t="s">
        <v>123</v>
      </c>
    </row>
    <row r="10" spans="1:3" x14ac:dyDescent="0.25">
      <c r="C10" s="1" t="s">
        <v>125</v>
      </c>
    </row>
    <row r="12" spans="1:3" x14ac:dyDescent="0.25">
      <c r="B12" s="1" t="s">
        <v>28</v>
      </c>
      <c r="C12" s="1" t="s">
        <v>127</v>
      </c>
    </row>
    <row r="13" spans="1:3" x14ac:dyDescent="0.25">
      <c r="C13" s="1" t="s">
        <v>128</v>
      </c>
    </row>
    <row r="14" spans="1:3" x14ac:dyDescent="0.25">
      <c r="C14" s="1" t="s">
        <v>129</v>
      </c>
    </row>
    <row r="15" spans="1:3" x14ac:dyDescent="0.25">
      <c r="C15" s="1" t="s">
        <v>130</v>
      </c>
    </row>
    <row r="17" spans="1:3" x14ac:dyDescent="0.25">
      <c r="B17" s="1" t="s">
        <v>29</v>
      </c>
      <c r="C17" s="1" t="s">
        <v>131</v>
      </c>
    </row>
    <row r="18" spans="1:3" x14ac:dyDescent="0.25">
      <c r="C18" s="1" t="s">
        <v>132</v>
      </c>
    </row>
    <row r="20" spans="1:3" x14ac:dyDescent="0.25">
      <c r="A20" s="19" t="s">
        <v>169</v>
      </c>
    </row>
    <row r="22" spans="1:3" x14ac:dyDescent="0.25">
      <c r="B22" s="1" t="s">
        <v>170</v>
      </c>
      <c r="C22" s="1" t="s">
        <v>162</v>
      </c>
    </row>
    <row r="24" spans="1:3" x14ac:dyDescent="0.25">
      <c r="B24" s="1" t="s">
        <v>171</v>
      </c>
      <c r="C24" s="1" t="s">
        <v>163</v>
      </c>
    </row>
    <row r="25" spans="1:3" x14ac:dyDescent="0.25">
      <c r="B25" s="1" t="s">
        <v>172</v>
      </c>
      <c r="C25" s="1" t="s">
        <v>168</v>
      </c>
    </row>
    <row r="27" spans="1:3" x14ac:dyDescent="0.25">
      <c r="B27" s="1" t="s">
        <v>173</v>
      </c>
      <c r="C27" s="1" t="s">
        <v>164</v>
      </c>
    </row>
    <row r="28" spans="1:3" x14ac:dyDescent="0.25">
      <c r="B28" s="1" t="s">
        <v>174</v>
      </c>
      <c r="C28" s="1" t="s">
        <v>165</v>
      </c>
    </row>
    <row r="29" spans="1:3" x14ac:dyDescent="0.25">
      <c r="C29" s="1" t="s">
        <v>166</v>
      </c>
    </row>
    <row r="30" spans="1:3" x14ac:dyDescent="0.25">
      <c r="C30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E653D-C945-4E6C-9C9B-81F48B36D462}">
  <dimension ref="A1:M43"/>
  <sheetViews>
    <sheetView workbookViewId="0">
      <selection activeCell="I10" sqref="I10"/>
    </sheetView>
  </sheetViews>
  <sheetFormatPr defaultRowHeight="13.8" x14ac:dyDescent="0.25"/>
  <cols>
    <col min="1" max="1" width="8.88671875" style="7"/>
    <col min="2" max="2" width="30.88671875" style="1" customWidth="1"/>
    <col min="3" max="3" width="49.5546875" style="2" customWidth="1"/>
    <col min="4" max="4" width="10.77734375" style="3" customWidth="1"/>
    <col min="5" max="5" width="10.77734375" style="25" customWidth="1"/>
    <col min="6" max="6" width="8.88671875" style="46"/>
    <col min="7" max="7" width="38.21875" style="46" customWidth="1"/>
    <col min="8" max="8" width="8.88671875" style="1"/>
    <col min="9" max="9" width="10.88671875" style="1" customWidth="1"/>
    <col min="10" max="12" width="27.77734375" style="1" customWidth="1"/>
    <col min="13" max="16384" width="8.88671875" style="1"/>
  </cols>
  <sheetData>
    <row r="1" spans="1:8" ht="21" x14ac:dyDescent="0.4">
      <c r="A1" s="6" t="s">
        <v>0</v>
      </c>
    </row>
    <row r="2" spans="1:8" ht="21" x14ac:dyDescent="0.4">
      <c r="A2" s="6" t="s">
        <v>1</v>
      </c>
    </row>
    <row r="3" spans="1:8" x14ac:dyDescent="0.25">
      <c r="A3" s="17"/>
      <c r="B3" s="19"/>
      <c r="C3" s="20"/>
      <c r="D3" s="19"/>
      <c r="E3" s="19"/>
    </row>
    <row r="4" spans="1:8" ht="28.2" thickBot="1" x14ac:dyDescent="0.3">
      <c r="A4" s="21" t="s">
        <v>2</v>
      </c>
      <c r="B4" s="14" t="s">
        <v>3</v>
      </c>
      <c r="C4" s="23" t="s">
        <v>51</v>
      </c>
      <c r="D4" s="15" t="s">
        <v>4</v>
      </c>
      <c r="E4" s="40" t="s">
        <v>117</v>
      </c>
      <c r="F4" s="47" t="s">
        <v>86</v>
      </c>
      <c r="G4" s="47" t="s">
        <v>87</v>
      </c>
    </row>
    <row r="5" spans="1:8" s="10" customFormat="1" ht="27.6" x14ac:dyDescent="0.3">
      <c r="A5" s="8">
        <v>1001</v>
      </c>
      <c r="B5" s="10" t="s">
        <v>10</v>
      </c>
      <c r="C5" s="11" t="s">
        <v>11</v>
      </c>
      <c r="D5" s="113">
        <v>0.1</v>
      </c>
      <c r="E5" s="115">
        <v>180</v>
      </c>
      <c r="F5" s="48" t="s">
        <v>88</v>
      </c>
      <c r="G5" s="49" t="s">
        <v>99</v>
      </c>
      <c r="H5" s="11" t="s">
        <v>160</v>
      </c>
    </row>
    <row r="6" spans="1:8" s="10" customFormat="1" ht="27.6" x14ac:dyDescent="0.3">
      <c r="A6" s="8">
        <v>1002</v>
      </c>
      <c r="B6" s="10" t="s">
        <v>13</v>
      </c>
      <c r="C6" s="11" t="s">
        <v>14</v>
      </c>
      <c r="D6" s="116">
        <v>0.2</v>
      </c>
      <c r="E6" s="114">
        <f>4/50*'P-L'!$D$10*0.5</f>
        <v>96</v>
      </c>
      <c r="F6" s="48" t="s">
        <v>90</v>
      </c>
      <c r="G6" s="49" t="s">
        <v>100</v>
      </c>
      <c r="H6" s="11" t="s">
        <v>160</v>
      </c>
    </row>
    <row r="7" spans="1:8" s="10" customFormat="1" ht="27.6" x14ac:dyDescent="0.3">
      <c r="A7" s="8">
        <v>1003</v>
      </c>
      <c r="B7" s="10" t="s">
        <v>30</v>
      </c>
      <c r="C7" s="11" t="s">
        <v>31</v>
      </c>
      <c r="D7" s="113">
        <v>0.1</v>
      </c>
      <c r="E7" s="117">
        <f>3/50*'P-L'!$D$10*0.5</f>
        <v>72</v>
      </c>
      <c r="F7" s="48" t="s">
        <v>89</v>
      </c>
      <c r="G7" s="48" t="s">
        <v>101</v>
      </c>
      <c r="H7" s="11" t="s">
        <v>160</v>
      </c>
    </row>
    <row r="8" spans="1:8" s="10" customFormat="1" ht="27.6" x14ac:dyDescent="0.3">
      <c r="A8" s="8">
        <v>1006</v>
      </c>
      <c r="B8" s="10" t="s">
        <v>35</v>
      </c>
      <c r="C8" s="11" t="s">
        <v>36</v>
      </c>
      <c r="D8" s="118">
        <v>0.05</v>
      </c>
      <c r="E8" s="115">
        <v>250</v>
      </c>
      <c r="F8" s="48" t="s">
        <v>91</v>
      </c>
      <c r="G8" s="48" t="s">
        <v>102</v>
      </c>
      <c r="H8" s="11" t="s">
        <v>160</v>
      </c>
    </row>
    <row r="9" spans="1:8" s="10" customFormat="1" ht="27.6" x14ac:dyDescent="0.3">
      <c r="A9" s="8">
        <v>1007</v>
      </c>
      <c r="B9" s="10" t="s">
        <v>85</v>
      </c>
      <c r="C9" s="11" t="s">
        <v>38</v>
      </c>
      <c r="D9" s="118">
        <v>7.0000000000000007E-2</v>
      </c>
      <c r="E9" s="114">
        <v>100</v>
      </c>
      <c r="F9" s="48" t="s">
        <v>92</v>
      </c>
      <c r="G9" s="48" t="s">
        <v>103</v>
      </c>
      <c r="H9" s="11" t="s">
        <v>160</v>
      </c>
    </row>
    <row r="10" spans="1:8" s="10" customFormat="1" ht="27.6" x14ac:dyDescent="0.3">
      <c r="A10" s="8">
        <v>1007</v>
      </c>
      <c r="B10" s="10" t="s">
        <v>84</v>
      </c>
      <c r="C10" s="11" t="s">
        <v>39</v>
      </c>
      <c r="D10" s="118">
        <v>0.09</v>
      </c>
      <c r="E10" s="114">
        <v>100</v>
      </c>
      <c r="F10" s="48" t="s">
        <v>92</v>
      </c>
      <c r="G10" s="49" t="s">
        <v>104</v>
      </c>
      <c r="H10" s="11" t="s">
        <v>160</v>
      </c>
    </row>
    <row r="11" spans="1:8" s="10" customFormat="1" ht="27.6" x14ac:dyDescent="0.3">
      <c r="A11" s="8">
        <v>1008</v>
      </c>
      <c r="B11" s="10" t="s">
        <v>40</v>
      </c>
      <c r="C11" s="11" t="s">
        <v>41</v>
      </c>
      <c r="D11" s="118">
        <v>0.03</v>
      </c>
      <c r="E11" s="114">
        <f>6/50*'P-L'!$D$10*0.5</f>
        <v>144</v>
      </c>
      <c r="F11" s="48" t="s">
        <v>89</v>
      </c>
      <c r="G11" s="49" t="s">
        <v>105</v>
      </c>
      <c r="H11" s="11" t="s">
        <v>160</v>
      </c>
    </row>
    <row r="12" spans="1:8" s="10" customFormat="1" ht="27.6" x14ac:dyDescent="0.3">
      <c r="A12" s="8">
        <v>1009</v>
      </c>
      <c r="B12" s="10" t="s">
        <v>42</v>
      </c>
      <c r="C12" s="11" t="s">
        <v>43</v>
      </c>
      <c r="D12" s="113">
        <v>0.16</v>
      </c>
      <c r="E12" s="117">
        <v>40</v>
      </c>
      <c r="F12" s="48" t="s">
        <v>93</v>
      </c>
      <c r="G12" s="48"/>
      <c r="H12" s="11" t="s">
        <v>160</v>
      </c>
    </row>
    <row r="13" spans="1:8" s="10" customFormat="1" ht="27.6" x14ac:dyDescent="0.3">
      <c r="A13" s="8">
        <v>1011</v>
      </c>
      <c r="B13" s="10" t="s">
        <v>46</v>
      </c>
      <c r="C13" s="11" t="s">
        <v>47</v>
      </c>
      <c r="D13" s="118">
        <v>0.05</v>
      </c>
      <c r="E13" s="114">
        <v>150</v>
      </c>
      <c r="F13" s="48" t="s">
        <v>90</v>
      </c>
      <c r="G13" s="49" t="s">
        <v>106</v>
      </c>
      <c r="H13" s="11" t="s">
        <v>160</v>
      </c>
    </row>
    <row r="14" spans="1:8" s="10" customFormat="1" ht="27.6" x14ac:dyDescent="0.3">
      <c r="A14" s="8">
        <v>1012</v>
      </c>
      <c r="B14" s="10" t="s">
        <v>48</v>
      </c>
      <c r="C14" s="11" t="s">
        <v>49</v>
      </c>
      <c r="D14" s="113">
        <v>0.1</v>
      </c>
      <c r="E14" s="117">
        <f>2/50*'P-L'!$D$10*0.5</f>
        <v>48</v>
      </c>
      <c r="F14" s="48" t="s">
        <v>94</v>
      </c>
      <c r="G14" s="49" t="s">
        <v>107</v>
      </c>
      <c r="H14" s="11" t="s">
        <v>160</v>
      </c>
    </row>
    <row r="15" spans="1:8" s="10" customFormat="1" ht="27.6" x14ac:dyDescent="0.3">
      <c r="A15" s="8">
        <v>1012</v>
      </c>
      <c r="B15" s="10" t="s">
        <v>50</v>
      </c>
      <c r="C15" s="11" t="s">
        <v>52</v>
      </c>
      <c r="D15" s="118">
        <v>0.08</v>
      </c>
      <c r="E15" s="117">
        <v>12</v>
      </c>
      <c r="F15" s="48" t="s">
        <v>94</v>
      </c>
      <c r="G15" s="48" t="s">
        <v>108</v>
      </c>
      <c r="H15" s="11" t="s">
        <v>160</v>
      </c>
    </row>
    <row r="16" spans="1:8" s="10" customFormat="1" ht="27.6" x14ac:dyDescent="0.3">
      <c r="A16" s="8">
        <v>1015</v>
      </c>
      <c r="B16" s="10" t="s">
        <v>57</v>
      </c>
      <c r="C16" s="11" t="s">
        <v>58</v>
      </c>
      <c r="D16" s="113">
        <v>0.17</v>
      </c>
      <c r="E16" s="114">
        <v>100</v>
      </c>
      <c r="F16" s="48" t="s">
        <v>95</v>
      </c>
      <c r="G16" s="49" t="s">
        <v>109</v>
      </c>
      <c r="H16" s="11" t="s">
        <v>160</v>
      </c>
    </row>
    <row r="17" spans="1:13" s="10" customFormat="1" ht="27.6" x14ac:dyDescent="0.3">
      <c r="A17" s="8">
        <v>1017</v>
      </c>
      <c r="B17" s="10" t="s">
        <v>61</v>
      </c>
      <c r="C17" s="11" t="s">
        <v>62</v>
      </c>
      <c r="D17" s="13">
        <v>0.23</v>
      </c>
      <c r="E17" s="42">
        <v>90</v>
      </c>
      <c r="F17" s="48" t="s">
        <v>96</v>
      </c>
      <c r="G17" s="48" t="s">
        <v>110</v>
      </c>
      <c r="H17" s="11" t="s">
        <v>160</v>
      </c>
    </row>
    <row r="18" spans="1:13" s="10" customFormat="1" ht="27.6" x14ac:dyDescent="0.3">
      <c r="A18" s="8">
        <v>1018</v>
      </c>
      <c r="B18" s="10" t="s">
        <v>63</v>
      </c>
      <c r="C18" s="11" t="s">
        <v>64</v>
      </c>
      <c r="D18" s="13">
        <v>7.0000000000000007E-2</v>
      </c>
      <c r="E18" s="42">
        <v>30</v>
      </c>
      <c r="F18" s="48" t="s">
        <v>95</v>
      </c>
      <c r="G18" s="48" t="s">
        <v>111</v>
      </c>
      <c r="H18" s="11" t="s">
        <v>160</v>
      </c>
    </row>
    <row r="19" spans="1:13" s="10" customFormat="1" ht="27.6" x14ac:dyDescent="0.3">
      <c r="A19" s="8">
        <v>1019</v>
      </c>
      <c r="B19" s="10" t="s">
        <v>65</v>
      </c>
      <c r="C19" s="11" t="s">
        <v>112</v>
      </c>
      <c r="D19" s="13">
        <v>0.2</v>
      </c>
      <c r="E19" s="42">
        <v>180</v>
      </c>
      <c r="F19" s="48" t="s">
        <v>97</v>
      </c>
      <c r="G19" s="48" t="s">
        <v>113</v>
      </c>
      <c r="H19" s="11" t="s">
        <v>160</v>
      </c>
    </row>
    <row r="20" spans="1:13" s="10" customFormat="1" ht="27.6" x14ac:dyDescent="0.3">
      <c r="A20" s="8">
        <v>1020</v>
      </c>
      <c r="B20" s="10" t="s">
        <v>67</v>
      </c>
      <c r="C20" s="11" t="s">
        <v>68</v>
      </c>
      <c r="D20" s="13">
        <v>0.05</v>
      </c>
      <c r="E20" s="42">
        <f>10/50*'P-L'!$D$10</f>
        <v>480</v>
      </c>
      <c r="F20" s="48" t="s">
        <v>98</v>
      </c>
      <c r="G20" s="49" t="s">
        <v>114</v>
      </c>
      <c r="H20" s="11" t="s">
        <v>160</v>
      </c>
    </row>
    <row r="21" spans="1:13" s="10" customFormat="1" ht="27.6" x14ac:dyDescent="0.3">
      <c r="A21" s="8">
        <v>1021</v>
      </c>
      <c r="B21" s="10" t="s">
        <v>69</v>
      </c>
      <c r="C21" s="11" t="s">
        <v>70</v>
      </c>
      <c r="D21" s="13">
        <v>0.12</v>
      </c>
      <c r="E21" s="42">
        <v>250</v>
      </c>
      <c r="F21" s="48" t="s">
        <v>98</v>
      </c>
      <c r="G21" s="49" t="s">
        <v>114</v>
      </c>
      <c r="H21" s="11" t="s">
        <v>160</v>
      </c>
    </row>
    <row r="22" spans="1:13" s="10" customFormat="1" ht="27.6" x14ac:dyDescent="0.3">
      <c r="A22" s="8">
        <v>1022</v>
      </c>
      <c r="B22" s="10" t="s">
        <v>71</v>
      </c>
      <c r="C22" s="11" t="s">
        <v>115</v>
      </c>
      <c r="D22" s="13">
        <v>0.03</v>
      </c>
      <c r="E22" s="42">
        <v>200</v>
      </c>
      <c r="F22" s="48" t="s">
        <v>90</v>
      </c>
      <c r="G22" s="48" t="s">
        <v>116</v>
      </c>
      <c r="H22" s="11" t="s">
        <v>160</v>
      </c>
    </row>
    <row r="23" spans="1:13" s="10" customFormat="1" x14ac:dyDescent="0.3">
      <c r="A23" s="8"/>
      <c r="C23" s="11"/>
      <c r="D23" s="12"/>
      <c r="E23" s="42"/>
      <c r="F23" s="48"/>
      <c r="G23" s="48"/>
      <c r="H23" s="95"/>
      <c r="I23" s="95"/>
      <c r="J23" s="95"/>
      <c r="K23" s="95"/>
      <c r="L23" s="95"/>
      <c r="M23" s="95"/>
    </row>
    <row r="24" spans="1:13" s="10" customFormat="1" x14ac:dyDescent="0.3">
      <c r="A24" s="8"/>
      <c r="C24" s="11"/>
      <c r="D24" s="12"/>
      <c r="E24" s="42"/>
      <c r="F24" s="48"/>
      <c r="G24" s="48"/>
      <c r="H24" s="95"/>
      <c r="I24" s="95"/>
      <c r="J24" s="95"/>
      <c r="K24" s="95"/>
      <c r="L24" s="95"/>
      <c r="M24" s="95"/>
    </row>
    <row r="25" spans="1:13" s="10" customFormat="1" x14ac:dyDescent="0.3">
      <c r="A25" s="8"/>
      <c r="C25" s="11"/>
      <c r="D25" s="12"/>
      <c r="E25" s="42"/>
      <c r="F25" s="48"/>
      <c r="G25" s="48"/>
      <c r="H25" s="95"/>
      <c r="I25" s="95"/>
      <c r="J25" s="95"/>
      <c r="K25" s="95"/>
      <c r="L25" s="95"/>
      <c r="M25" s="95"/>
    </row>
    <row r="26" spans="1:13" s="10" customFormat="1" ht="78" customHeight="1" x14ac:dyDescent="0.3">
      <c r="A26" s="8"/>
      <c r="C26" s="11"/>
      <c r="D26" s="12"/>
      <c r="E26" s="42"/>
      <c r="F26" s="48"/>
      <c r="G26" s="48"/>
      <c r="H26" s="95"/>
      <c r="I26" s="99" t="s">
        <v>179</v>
      </c>
      <c r="J26" s="92"/>
      <c r="K26" s="93"/>
      <c r="L26" s="93"/>
      <c r="M26" s="95"/>
    </row>
    <row r="27" spans="1:13" s="10" customFormat="1" ht="78" customHeight="1" x14ac:dyDescent="0.3">
      <c r="A27" s="8"/>
      <c r="C27" s="11"/>
      <c r="D27" s="12"/>
      <c r="E27" s="42"/>
      <c r="F27" s="48"/>
      <c r="G27" s="48"/>
      <c r="H27" s="98" t="s">
        <v>83</v>
      </c>
      <c r="I27" s="99" t="s">
        <v>180</v>
      </c>
      <c r="J27" s="94"/>
      <c r="K27" s="92"/>
      <c r="L27" s="93"/>
      <c r="M27" s="95"/>
    </row>
    <row r="28" spans="1:13" s="10" customFormat="1" ht="78" customHeight="1" x14ac:dyDescent="0.3">
      <c r="A28" s="8"/>
      <c r="C28" s="11"/>
      <c r="D28" s="12"/>
      <c r="E28" s="42"/>
      <c r="F28" s="48"/>
      <c r="G28" s="48"/>
      <c r="H28" s="95"/>
      <c r="I28" s="99" t="s">
        <v>181</v>
      </c>
      <c r="J28" s="94"/>
      <c r="K28" s="94"/>
      <c r="L28" s="92"/>
      <c r="M28" s="95"/>
    </row>
    <row r="29" spans="1:13" s="10" customFormat="1" ht="26.4" customHeight="1" x14ac:dyDescent="0.3">
      <c r="A29" s="8"/>
      <c r="C29" s="11"/>
      <c r="D29" s="12"/>
      <c r="E29" s="42"/>
      <c r="F29" s="48"/>
      <c r="G29" s="48"/>
      <c r="H29" s="95"/>
      <c r="I29" s="100"/>
      <c r="J29" s="96" t="s">
        <v>181</v>
      </c>
      <c r="K29" s="96" t="s">
        <v>180</v>
      </c>
      <c r="L29" s="96" t="s">
        <v>179</v>
      </c>
      <c r="M29" s="95"/>
    </row>
    <row r="30" spans="1:13" s="10" customFormat="1" ht="15.6" x14ac:dyDescent="0.3">
      <c r="A30" s="8"/>
      <c r="C30" s="11"/>
      <c r="D30" s="12"/>
      <c r="E30" s="42"/>
      <c r="F30" s="48"/>
      <c r="G30" s="48"/>
      <c r="H30" s="95"/>
      <c r="I30" s="100"/>
      <c r="J30" s="95"/>
      <c r="K30" s="97" t="s">
        <v>4</v>
      </c>
      <c r="L30" s="95"/>
      <c r="M30" s="95"/>
    </row>
    <row r="31" spans="1:13" s="10" customFormat="1" x14ac:dyDescent="0.3">
      <c r="A31" s="8"/>
      <c r="C31" s="11"/>
      <c r="D31" s="12"/>
      <c r="E31" s="42"/>
      <c r="F31" s="48"/>
      <c r="G31" s="48"/>
      <c r="I31" s="95"/>
    </row>
    <row r="32" spans="1:13" s="10" customFormat="1" x14ac:dyDescent="0.3">
      <c r="A32" s="8"/>
      <c r="C32" s="11"/>
      <c r="D32" s="12"/>
      <c r="E32" s="42"/>
      <c r="F32" s="48"/>
      <c r="G32" s="48"/>
      <c r="I32" s="95"/>
    </row>
    <row r="33" spans="1:7" s="10" customFormat="1" x14ac:dyDescent="0.3">
      <c r="A33" s="8"/>
      <c r="C33" s="11"/>
      <c r="D33" s="12"/>
      <c r="E33" s="42"/>
      <c r="F33" s="48"/>
      <c r="G33" s="48"/>
    </row>
    <row r="34" spans="1:7" s="10" customFormat="1" x14ac:dyDescent="0.3">
      <c r="A34" s="8"/>
      <c r="C34" s="11"/>
      <c r="D34" s="12"/>
      <c r="E34" s="42"/>
      <c r="F34" s="48"/>
      <c r="G34" s="48"/>
    </row>
    <row r="35" spans="1:7" s="10" customFormat="1" x14ac:dyDescent="0.3">
      <c r="A35" s="8"/>
      <c r="C35" s="11"/>
      <c r="D35" s="12"/>
      <c r="E35" s="42"/>
      <c r="F35" s="48"/>
      <c r="G35" s="48"/>
    </row>
    <row r="36" spans="1:7" s="10" customFormat="1" x14ac:dyDescent="0.3">
      <c r="A36" s="8"/>
      <c r="C36" s="11"/>
      <c r="D36" s="12"/>
      <c r="E36" s="42"/>
      <c r="F36" s="48"/>
      <c r="G36" s="48"/>
    </row>
    <row r="37" spans="1:7" s="10" customFormat="1" x14ac:dyDescent="0.3">
      <c r="A37" s="8"/>
      <c r="C37" s="11"/>
      <c r="D37" s="12"/>
      <c r="E37" s="42"/>
      <c r="F37" s="48"/>
      <c r="G37" s="48"/>
    </row>
    <row r="38" spans="1:7" s="10" customFormat="1" x14ac:dyDescent="0.3">
      <c r="A38" s="8"/>
      <c r="C38" s="11"/>
      <c r="D38" s="12"/>
      <c r="E38" s="42"/>
      <c r="F38" s="48"/>
      <c r="G38" s="48"/>
    </row>
    <row r="39" spans="1:7" s="10" customFormat="1" x14ac:dyDescent="0.3">
      <c r="A39" s="8"/>
      <c r="C39" s="11"/>
      <c r="D39" s="12"/>
      <c r="E39" s="42"/>
      <c r="F39" s="48"/>
      <c r="G39" s="48"/>
    </row>
    <row r="40" spans="1:7" s="10" customFormat="1" x14ac:dyDescent="0.3">
      <c r="A40" s="8"/>
      <c r="C40" s="11"/>
      <c r="D40" s="12"/>
      <c r="E40" s="42"/>
      <c r="F40" s="48"/>
      <c r="G40" s="48"/>
    </row>
    <row r="41" spans="1:7" s="10" customFormat="1" x14ac:dyDescent="0.3">
      <c r="A41" s="8"/>
      <c r="C41" s="11"/>
      <c r="D41" s="12"/>
      <c r="E41" s="42"/>
      <c r="F41" s="48"/>
      <c r="G41" s="48"/>
    </row>
    <row r="42" spans="1:7" s="10" customFormat="1" x14ac:dyDescent="0.3">
      <c r="A42" s="8"/>
      <c r="C42" s="11"/>
      <c r="D42" s="12"/>
      <c r="E42" s="42"/>
      <c r="F42" s="48"/>
      <c r="G42" s="48"/>
    </row>
    <row r="43" spans="1:7" s="10" customFormat="1" x14ac:dyDescent="0.3">
      <c r="A43" s="8"/>
      <c r="C43" s="11"/>
      <c r="D43" s="12"/>
      <c r="E43" s="42"/>
      <c r="F43" s="48"/>
      <c r="G43" s="4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8962-5389-4B64-8D85-A033CBDDDDB1}">
  <dimension ref="A1:M51"/>
  <sheetViews>
    <sheetView workbookViewId="0">
      <selection activeCell="K7" sqref="K7"/>
    </sheetView>
  </sheetViews>
  <sheetFormatPr defaultRowHeight="17.399999999999999" x14ac:dyDescent="0.3"/>
  <cols>
    <col min="1" max="1" width="8.88671875" style="7"/>
    <col min="2" max="2" width="8.88671875" style="4"/>
    <col min="3" max="3" width="38.88671875" style="1" customWidth="1"/>
    <col min="4" max="4" width="49.5546875" style="2" customWidth="1"/>
    <col min="5" max="5" width="10.77734375" style="3" customWidth="1"/>
    <col min="6" max="6" width="10.77734375" style="25" customWidth="1"/>
    <col min="7" max="7" width="1.109375" style="39" customWidth="1"/>
    <col min="8" max="10" width="8.88671875" style="26"/>
    <col min="11" max="11" width="9.33203125" style="26" bestFit="1" customWidth="1"/>
    <col min="12" max="12" width="34.21875" style="54" customWidth="1"/>
    <col min="13" max="16384" width="8.88671875" style="1"/>
  </cols>
  <sheetData>
    <row r="1" spans="1:13" ht="21" x14ac:dyDescent="0.4">
      <c r="A1" s="6" t="s">
        <v>0</v>
      </c>
      <c r="B1" s="5"/>
      <c r="J1" s="38" t="s">
        <v>8</v>
      </c>
      <c r="K1" s="38">
        <v>4</v>
      </c>
    </row>
    <row r="2" spans="1:13" ht="21" x14ac:dyDescent="0.4">
      <c r="A2" s="6" t="s">
        <v>1</v>
      </c>
      <c r="B2" s="5"/>
      <c r="J2" s="38" t="s">
        <v>119</v>
      </c>
      <c r="K2" s="50">
        <v>0.4</v>
      </c>
    </row>
    <row r="3" spans="1:13" ht="21" x14ac:dyDescent="0.4">
      <c r="A3" s="6"/>
      <c r="B3" s="5"/>
      <c r="J3" s="38" t="s">
        <v>133</v>
      </c>
      <c r="K3" s="52">
        <f>+'P-L'!D6</f>
        <v>2000</v>
      </c>
      <c r="L3" s="54" t="s">
        <v>135</v>
      </c>
    </row>
    <row r="4" spans="1:13" ht="21" x14ac:dyDescent="0.4">
      <c r="A4" s="6"/>
      <c r="B4" s="5"/>
      <c r="J4" s="38" t="s">
        <v>134</v>
      </c>
      <c r="K4" s="52">
        <f>+'P-L'!D10</f>
        <v>2400</v>
      </c>
      <c r="L4" s="54" t="s">
        <v>135</v>
      </c>
    </row>
    <row r="5" spans="1:13" x14ac:dyDescent="0.3">
      <c r="A5" s="17"/>
      <c r="B5" s="18"/>
      <c r="C5" s="19"/>
      <c r="D5" s="20"/>
      <c r="E5" s="101" t="s">
        <v>6</v>
      </c>
      <c r="F5" s="101"/>
    </row>
    <row r="6" spans="1:13" ht="28.8" thickBot="1" x14ac:dyDescent="0.35">
      <c r="A6" s="21" t="s">
        <v>2</v>
      </c>
      <c r="B6" s="22" t="s">
        <v>7</v>
      </c>
      <c r="C6" s="14" t="s">
        <v>3</v>
      </c>
      <c r="D6" s="23" t="s">
        <v>51</v>
      </c>
      <c r="E6" s="15" t="s">
        <v>4</v>
      </c>
      <c r="F6" s="41" t="s">
        <v>5</v>
      </c>
      <c r="H6" s="41" t="s">
        <v>17</v>
      </c>
      <c r="I6" s="41" t="s">
        <v>120</v>
      </c>
      <c r="J6" s="41" t="s">
        <v>18</v>
      </c>
      <c r="K6" s="40" t="s">
        <v>185</v>
      </c>
      <c r="L6" s="55" t="s">
        <v>118</v>
      </c>
    </row>
    <row r="7" spans="1:13" s="10" customFormat="1" ht="27.6" x14ac:dyDescent="0.3">
      <c r="A7" s="8">
        <v>1001</v>
      </c>
      <c r="B7" s="9" t="s">
        <v>9</v>
      </c>
      <c r="C7" s="10" t="s">
        <v>10</v>
      </c>
      <c r="D7" s="11" t="s">
        <v>11</v>
      </c>
      <c r="E7" s="13">
        <v>0.1</v>
      </c>
      <c r="F7" s="42">
        <v>100</v>
      </c>
      <c r="G7" s="44"/>
      <c r="H7" s="43">
        <f>MIN(I7/$K$1,I7*$K$1)</f>
        <v>-1000</v>
      </c>
      <c r="I7" s="43">
        <f>-F7/$K$2</f>
        <v>-250</v>
      </c>
      <c r="J7" s="43">
        <f>MAX(I7/$K$1,I7*$K$1)</f>
        <v>-62.5</v>
      </c>
      <c r="K7" s="43">
        <f ca="1">_xll.RiskMakeInput(_xll.RiskPert(H7,I7,J7)*_xll.RiskBernoulli(E7))</f>
        <v>0</v>
      </c>
      <c r="L7" s="49" t="s">
        <v>141</v>
      </c>
      <c r="M7" s="11" t="s">
        <v>160</v>
      </c>
    </row>
    <row r="8" spans="1:13" s="10" customFormat="1" ht="27.6" x14ac:dyDescent="0.3">
      <c r="A8" s="8">
        <v>1002</v>
      </c>
      <c r="B8" s="9" t="s">
        <v>12</v>
      </c>
      <c r="C8" s="10" t="s">
        <v>13</v>
      </c>
      <c r="D8" s="11" t="s">
        <v>14</v>
      </c>
      <c r="E8" s="13">
        <v>0.2</v>
      </c>
      <c r="F8" s="42">
        <v>90</v>
      </c>
      <c r="G8" s="43"/>
      <c r="H8" s="43">
        <f t="shared" ref="H8:H30" si="0">MIN(I8/$K$1,I8*$K$1)</f>
        <v>-900</v>
      </c>
      <c r="I8" s="43">
        <f>-F8/$K$2</f>
        <v>-225</v>
      </c>
      <c r="J8" s="43">
        <f>MAX(I8/$K$1,I8*$K$1)</f>
        <v>-56.25</v>
      </c>
      <c r="K8" s="43">
        <f ca="1">_xll.RiskMakeInput(_xll.RiskPert(H8,I8,J8)*_xll.RiskBernoulli(E8))</f>
        <v>0</v>
      </c>
      <c r="L8" s="49" t="s">
        <v>140</v>
      </c>
      <c r="M8" s="11" t="s">
        <v>160</v>
      </c>
    </row>
    <row r="9" spans="1:13" s="10" customFormat="1" ht="27.6" x14ac:dyDescent="0.3">
      <c r="A9" s="8">
        <v>1003</v>
      </c>
      <c r="B9" s="9" t="s">
        <v>12</v>
      </c>
      <c r="C9" s="10" t="s">
        <v>30</v>
      </c>
      <c r="D9" s="11" t="s">
        <v>31</v>
      </c>
      <c r="E9" s="13">
        <v>0.1</v>
      </c>
      <c r="F9" s="42">
        <v>70</v>
      </c>
      <c r="G9" s="44"/>
      <c r="H9" s="43">
        <f t="shared" si="0"/>
        <v>-700</v>
      </c>
      <c r="I9" s="43">
        <f>-F9/$K$2</f>
        <v>-175</v>
      </c>
      <c r="J9" s="43">
        <f>MAX(I9/$K$1,I9*$K$1)</f>
        <v>-43.75</v>
      </c>
      <c r="K9" s="43">
        <f ca="1">_xll.RiskMakeInput(_xll.RiskPert(H9,I9,J9)*_xll.RiskBernoulli(E9))</f>
        <v>0</v>
      </c>
      <c r="L9" s="49" t="s">
        <v>140</v>
      </c>
      <c r="M9" s="11" t="s">
        <v>160</v>
      </c>
    </row>
    <row r="10" spans="1:13" s="10" customFormat="1" ht="27.6" x14ac:dyDescent="0.3">
      <c r="A10" s="8">
        <v>1004</v>
      </c>
      <c r="B10" s="9" t="s">
        <v>29</v>
      </c>
      <c r="C10" s="10" t="s">
        <v>32</v>
      </c>
      <c r="D10" s="11" t="s">
        <v>33</v>
      </c>
      <c r="E10" s="75">
        <v>1</v>
      </c>
      <c r="F10" s="76"/>
      <c r="G10" s="77"/>
      <c r="H10" s="78">
        <v>-40</v>
      </c>
      <c r="I10" s="78">
        <v>0</v>
      </c>
      <c r="J10" s="78">
        <v>40</v>
      </c>
      <c r="K10" s="78">
        <f ca="1">_xll.RiskMakeInput(_xll.RiskPert(H10,I10,J10)*_xll.RiskBernoulli(E10))</f>
        <v>-2.5466929713852124</v>
      </c>
      <c r="L10" s="49" t="s">
        <v>159</v>
      </c>
      <c r="M10" s="11" t="s">
        <v>160</v>
      </c>
    </row>
    <row r="11" spans="1:13" s="10" customFormat="1" ht="27.6" x14ac:dyDescent="0.3">
      <c r="A11" s="8">
        <v>1005</v>
      </c>
      <c r="B11" s="9" t="s">
        <v>28</v>
      </c>
      <c r="C11" s="10" t="s">
        <v>34</v>
      </c>
      <c r="D11" s="11" t="s">
        <v>72</v>
      </c>
      <c r="E11" s="75">
        <v>1</v>
      </c>
      <c r="F11" s="76"/>
      <c r="G11" s="77"/>
      <c r="H11" s="79">
        <f>-50/$K$3</f>
        <v>-2.5000000000000001E-2</v>
      </c>
      <c r="I11" s="79">
        <v>0</v>
      </c>
      <c r="J11" s="79">
        <f>100/$K$3</f>
        <v>0.05</v>
      </c>
      <c r="K11" s="79">
        <f ca="1">_xll.RiskMakeInput(_xll.RiskPert(H11,I11,J11)*_xll.RiskBernoulli(E11))</f>
        <v>-1.6620372695349682E-2</v>
      </c>
      <c r="L11" s="49" t="s">
        <v>139</v>
      </c>
      <c r="M11" s="11" t="s">
        <v>160</v>
      </c>
    </row>
    <row r="12" spans="1:13" s="10" customFormat="1" ht="27.6" x14ac:dyDescent="0.3">
      <c r="A12" s="8">
        <v>1006</v>
      </c>
      <c r="B12" s="9" t="s">
        <v>9</v>
      </c>
      <c r="C12" s="10" t="s">
        <v>35</v>
      </c>
      <c r="D12" s="11" t="s">
        <v>36</v>
      </c>
      <c r="E12" s="13">
        <v>0.05</v>
      </c>
      <c r="F12" s="42">
        <v>150</v>
      </c>
      <c r="G12" s="44"/>
      <c r="H12" s="43">
        <f t="shared" si="0"/>
        <v>-1500</v>
      </c>
      <c r="I12" s="43">
        <f>-F12/$K$2</f>
        <v>-375</v>
      </c>
      <c r="J12" s="43">
        <f>MAX(I12/$K$1,I12*$K$1)</f>
        <v>-93.75</v>
      </c>
      <c r="K12" s="43">
        <f ca="1">_xll.RiskMakeInput(_xll.RiskPert(H12,I12,J12)*_xll.RiskBernoulli(E12))</f>
        <v>0</v>
      </c>
      <c r="L12" s="49" t="s">
        <v>141</v>
      </c>
      <c r="M12" s="11" t="s">
        <v>160</v>
      </c>
    </row>
    <row r="13" spans="1:13" s="10" customFormat="1" ht="27.6" x14ac:dyDescent="0.3">
      <c r="A13" s="8">
        <v>1007</v>
      </c>
      <c r="B13" s="9" t="s">
        <v>9</v>
      </c>
      <c r="C13" s="10" t="s">
        <v>37</v>
      </c>
      <c r="D13" s="11" t="s">
        <v>38</v>
      </c>
      <c r="E13" s="13">
        <v>0.1</v>
      </c>
      <c r="F13" s="42">
        <v>200</v>
      </c>
      <c r="G13" s="44"/>
      <c r="H13" s="43">
        <f t="shared" si="0"/>
        <v>-2000</v>
      </c>
      <c r="I13" s="43">
        <f>-F13/$K$2</f>
        <v>-500</v>
      </c>
      <c r="J13" s="43">
        <f>MAX(I13/$K$1,I13*$K$1)</f>
        <v>-125</v>
      </c>
      <c r="K13" s="43">
        <f ca="1">_xll.RiskMakeInput(_xll.RiskPert(H13,I13,J13)*_xll.RiskBernoulli(E13))</f>
        <v>0</v>
      </c>
      <c r="L13" s="49" t="s">
        <v>141</v>
      </c>
      <c r="M13" s="11" t="s">
        <v>160</v>
      </c>
    </row>
    <row r="14" spans="1:13" s="10" customFormat="1" ht="27.6" x14ac:dyDescent="0.3">
      <c r="A14" s="8">
        <v>1007</v>
      </c>
      <c r="B14" s="9" t="s">
        <v>29</v>
      </c>
      <c r="C14" s="10" t="str">
        <f>+C13</f>
        <v>Reputational Loss</v>
      </c>
      <c r="D14" s="11" t="s">
        <v>39</v>
      </c>
      <c r="E14" s="13">
        <v>0.1</v>
      </c>
      <c r="F14" s="42">
        <v>100</v>
      </c>
      <c r="G14" s="44"/>
      <c r="H14" s="43">
        <f t="shared" si="0"/>
        <v>25</v>
      </c>
      <c r="I14" s="43">
        <f>F14</f>
        <v>100</v>
      </c>
      <c r="J14" s="43">
        <f>MAX(I14/$K$1,I14*$K$1)</f>
        <v>400</v>
      </c>
      <c r="K14" s="43">
        <f ca="1">_xll.RiskMakeInput(_xll.RiskPert(H14,I14,J14)*_xll.RiskBernoulli(E14))</f>
        <v>0</v>
      </c>
      <c r="L14" s="49"/>
      <c r="M14" s="11" t="s">
        <v>160</v>
      </c>
    </row>
    <row r="15" spans="1:13" s="10" customFormat="1" ht="27.6" x14ac:dyDescent="0.3">
      <c r="A15" s="8">
        <v>1008</v>
      </c>
      <c r="B15" s="9" t="s">
        <v>12</v>
      </c>
      <c r="C15" s="10" t="s">
        <v>40</v>
      </c>
      <c r="D15" s="11" t="s">
        <v>41</v>
      </c>
      <c r="E15" s="13">
        <v>0.03</v>
      </c>
      <c r="F15" s="42">
        <v>150</v>
      </c>
      <c r="G15" s="44"/>
      <c r="H15" s="43">
        <f t="shared" si="0"/>
        <v>-1500</v>
      </c>
      <c r="I15" s="43">
        <f>-F15/$K$2</f>
        <v>-375</v>
      </c>
      <c r="J15" s="43">
        <f>MAX(I15/$K$1,I15*$K$1)</f>
        <v>-93.75</v>
      </c>
      <c r="K15" s="43">
        <f ca="1">_xll.RiskMakeInput(_xll.RiskPert(H15,I15,J15)*_xll.RiskBernoulli(E15))</f>
        <v>0</v>
      </c>
      <c r="L15" s="49" t="s">
        <v>140</v>
      </c>
      <c r="M15" s="11" t="s">
        <v>160</v>
      </c>
    </row>
    <row r="16" spans="1:13" s="10" customFormat="1" ht="27.6" x14ac:dyDescent="0.3">
      <c r="A16" s="8">
        <v>1009</v>
      </c>
      <c r="B16" s="9" t="s">
        <v>28</v>
      </c>
      <c r="C16" s="10" t="s">
        <v>42</v>
      </c>
      <c r="D16" s="11" t="s">
        <v>43</v>
      </c>
      <c r="E16" s="13">
        <v>0.1</v>
      </c>
      <c r="F16" s="42">
        <v>40</v>
      </c>
      <c r="G16" s="44"/>
      <c r="H16" s="53">
        <f t="shared" si="0"/>
        <v>5.0000000000000001E-3</v>
      </c>
      <c r="I16" s="53">
        <f>+F16/$K$3</f>
        <v>0.02</v>
      </c>
      <c r="J16" s="53">
        <f>MAX(I16/$K$2,I16*$K$1)</f>
        <v>0.08</v>
      </c>
      <c r="K16" s="53">
        <f ca="1">_xll.RiskMakeInput(_xll.RiskPert(H16,I16,J16)*_xll.RiskBernoulli(E16))</f>
        <v>0</v>
      </c>
      <c r="L16" s="49" t="s">
        <v>139</v>
      </c>
      <c r="M16" s="11" t="s">
        <v>160</v>
      </c>
    </row>
    <row r="17" spans="1:13" s="10" customFormat="1" ht="27.6" x14ac:dyDescent="0.3">
      <c r="A17" s="8">
        <v>1010</v>
      </c>
      <c r="B17" s="9" t="s">
        <v>9</v>
      </c>
      <c r="C17" s="10" t="s">
        <v>44</v>
      </c>
      <c r="D17" s="11" t="s">
        <v>45</v>
      </c>
      <c r="E17" s="75">
        <v>1</v>
      </c>
      <c r="F17" s="76"/>
      <c r="G17" s="77"/>
      <c r="H17" s="78">
        <v>-200</v>
      </c>
      <c r="I17" s="78">
        <v>0</v>
      </c>
      <c r="J17" s="78">
        <v>800</v>
      </c>
      <c r="K17" s="78">
        <f ca="1">_xll.RiskMakeInput(_xll.RiskPert(H17,I17,J17)*_xll.RiskBernoulli(E17))</f>
        <v>538.57798341200476</v>
      </c>
      <c r="L17" s="49" t="s">
        <v>136</v>
      </c>
      <c r="M17" s="11" t="s">
        <v>160</v>
      </c>
    </row>
    <row r="18" spans="1:13" s="10" customFormat="1" ht="27.6" x14ac:dyDescent="0.3">
      <c r="A18" s="8">
        <v>1011</v>
      </c>
      <c r="B18" s="9" t="s">
        <v>9</v>
      </c>
      <c r="C18" s="10" t="s">
        <v>46</v>
      </c>
      <c r="D18" s="11" t="s">
        <v>47</v>
      </c>
      <c r="E18" s="13">
        <v>0.05</v>
      </c>
      <c r="F18" s="42">
        <v>150</v>
      </c>
      <c r="G18" s="44"/>
      <c r="H18" s="43">
        <f t="shared" si="0"/>
        <v>-1500</v>
      </c>
      <c r="I18" s="43">
        <f>-F18/$K$2</f>
        <v>-375</v>
      </c>
      <c r="J18" s="43">
        <f t="shared" ref="J18:J30" si="1">MAX(I18/$K$1,I18*$K$1)</f>
        <v>-93.75</v>
      </c>
      <c r="K18" s="43">
        <f ca="1">_xll.RiskMakeInput(_xll.RiskPert(H18,I18,J18)*_xll.RiskBernoulli(E18))</f>
        <v>0</v>
      </c>
      <c r="L18" s="49"/>
      <c r="M18" s="11" t="s">
        <v>160</v>
      </c>
    </row>
    <row r="19" spans="1:13" s="10" customFormat="1" ht="27.6" x14ac:dyDescent="0.3">
      <c r="A19" s="8">
        <v>1012</v>
      </c>
      <c r="B19" s="9" t="s">
        <v>12</v>
      </c>
      <c r="C19" s="10" t="s">
        <v>48</v>
      </c>
      <c r="D19" s="11" t="s">
        <v>49</v>
      </c>
      <c r="E19" s="13">
        <v>0.1</v>
      </c>
      <c r="F19" s="42">
        <v>50</v>
      </c>
      <c r="G19" s="44"/>
      <c r="H19" s="43">
        <f t="shared" si="0"/>
        <v>-500</v>
      </c>
      <c r="I19" s="43">
        <f>-F19/$K$2</f>
        <v>-125</v>
      </c>
      <c r="J19" s="43">
        <f t="shared" si="1"/>
        <v>-31.25</v>
      </c>
      <c r="K19" s="43">
        <f ca="1">_xll.RiskMakeInput(_xll.RiskPert(H19,I19,J19)*_xll.RiskBernoulli(E19))</f>
        <v>0</v>
      </c>
      <c r="L19" s="49" t="s">
        <v>140</v>
      </c>
      <c r="M19" s="11" t="s">
        <v>160</v>
      </c>
    </row>
    <row r="20" spans="1:13" s="10" customFormat="1" ht="27.6" x14ac:dyDescent="0.3">
      <c r="A20" s="8">
        <v>1012</v>
      </c>
      <c r="B20" s="9" t="s">
        <v>28</v>
      </c>
      <c r="C20" s="10" t="s">
        <v>50</v>
      </c>
      <c r="D20" s="11" t="s">
        <v>52</v>
      </c>
      <c r="E20" s="13">
        <v>0.1</v>
      </c>
      <c r="F20" s="42">
        <v>12</v>
      </c>
      <c r="G20" s="44"/>
      <c r="H20" s="53">
        <f t="shared" si="0"/>
        <v>1.5E-3</v>
      </c>
      <c r="I20" s="53">
        <f>+F20/$K$3</f>
        <v>6.0000000000000001E-3</v>
      </c>
      <c r="J20" s="53">
        <f t="shared" si="1"/>
        <v>2.4E-2</v>
      </c>
      <c r="K20" s="53">
        <f ca="1">_xll.RiskMakeInput(_xll.RiskPert(H20,I20,J20)*_xll.RiskBernoulli(E20))</f>
        <v>0</v>
      </c>
      <c r="L20" s="49" t="s">
        <v>139</v>
      </c>
      <c r="M20" s="11" t="s">
        <v>160</v>
      </c>
    </row>
    <row r="21" spans="1:13" s="10" customFormat="1" ht="27.6" x14ac:dyDescent="0.3">
      <c r="A21" s="8">
        <v>1013</v>
      </c>
      <c r="B21" s="9" t="s">
        <v>9</v>
      </c>
      <c r="C21" s="10" t="s">
        <v>53</v>
      </c>
      <c r="D21" s="11" t="s">
        <v>54</v>
      </c>
      <c r="E21" s="80">
        <v>0.1</v>
      </c>
      <c r="F21" s="81">
        <v>-80</v>
      </c>
      <c r="G21" s="82"/>
      <c r="H21" s="83">
        <f t="shared" si="0"/>
        <v>50</v>
      </c>
      <c r="I21" s="83">
        <f>-F21/$K$2</f>
        <v>200</v>
      </c>
      <c r="J21" s="83">
        <f t="shared" si="1"/>
        <v>800</v>
      </c>
      <c r="K21" s="83">
        <f ca="1">_xll.RiskMakeInput(_xll.RiskPert(H21,I21,J21)*_xll.RiskBernoulli(E21))</f>
        <v>0</v>
      </c>
      <c r="L21" s="49" t="s">
        <v>137</v>
      </c>
      <c r="M21" s="11" t="s">
        <v>160</v>
      </c>
    </row>
    <row r="22" spans="1:13" s="10" customFormat="1" ht="27.6" x14ac:dyDescent="0.3">
      <c r="A22" s="8">
        <v>1014</v>
      </c>
      <c r="B22" s="9" t="s">
        <v>9</v>
      </c>
      <c r="C22" s="10" t="s">
        <v>55</v>
      </c>
      <c r="D22" s="11" t="s">
        <v>56</v>
      </c>
      <c r="E22" s="80">
        <v>0.03</v>
      </c>
      <c r="F22" s="81">
        <v>-50</v>
      </c>
      <c r="G22" s="82"/>
      <c r="H22" s="83">
        <f t="shared" si="0"/>
        <v>31.25</v>
      </c>
      <c r="I22" s="83">
        <f>-F22/$K$2</f>
        <v>125</v>
      </c>
      <c r="J22" s="83">
        <f t="shared" si="1"/>
        <v>500</v>
      </c>
      <c r="K22" s="83">
        <f ca="1">_xll.RiskMakeInput(_xll.RiskPert(H22,I22,J22)*_xll.RiskBernoulli(E22))</f>
        <v>0</v>
      </c>
      <c r="L22" s="49" t="s">
        <v>137</v>
      </c>
      <c r="M22" s="11" t="s">
        <v>160</v>
      </c>
    </row>
    <row r="23" spans="1:13" s="10" customFormat="1" ht="27.6" x14ac:dyDescent="0.3">
      <c r="A23" s="8">
        <v>1015</v>
      </c>
      <c r="B23" s="9" t="s">
        <v>29</v>
      </c>
      <c r="C23" s="10" t="s">
        <v>57</v>
      </c>
      <c r="D23" s="11" t="s">
        <v>58</v>
      </c>
      <c r="E23" s="13">
        <v>0.1</v>
      </c>
      <c r="F23" s="42">
        <v>100</v>
      </c>
      <c r="G23" s="44"/>
      <c r="H23" s="43">
        <f t="shared" si="0"/>
        <v>25</v>
      </c>
      <c r="I23" s="43">
        <f>F23</f>
        <v>100</v>
      </c>
      <c r="J23" s="43">
        <f t="shared" si="1"/>
        <v>400</v>
      </c>
      <c r="K23" s="43">
        <f ca="1">_xll.RiskMakeInput(_xll.RiskPert(H23,I23,J23)*_xll.RiskBernoulli(E23))</f>
        <v>0</v>
      </c>
      <c r="L23" s="49"/>
      <c r="M23" s="11" t="s">
        <v>160</v>
      </c>
    </row>
    <row r="24" spans="1:13" s="10" customFormat="1" ht="27.6" x14ac:dyDescent="0.3">
      <c r="A24" s="8">
        <v>1016</v>
      </c>
      <c r="B24" s="9" t="s">
        <v>12</v>
      </c>
      <c r="C24" s="10" t="s">
        <v>59</v>
      </c>
      <c r="D24" s="11" t="s">
        <v>60</v>
      </c>
      <c r="E24" s="80">
        <v>0.2</v>
      </c>
      <c r="F24" s="81">
        <f>-120*K2</f>
        <v>-48</v>
      </c>
      <c r="G24" s="82"/>
      <c r="H24" s="83">
        <f t="shared" si="0"/>
        <v>30</v>
      </c>
      <c r="I24" s="83">
        <f>-F24/$K$2</f>
        <v>120</v>
      </c>
      <c r="J24" s="83">
        <f t="shared" si="1"/>
        <v>480</v>
      </c>
      <c r="K24" s="83">
        <f ca="1">_xll.RiskMakeInput(_xll.RiskPert(H24,I24,J24)*_xll.RiskBernoulli(E24))</f>
        <v>0</v>
      </c>
      <c r="L24" s="49" t="s">
        <v>138</v>
      </c>
      <c r="M24" s="11" t="s">
        <v>160</v>
      </c>
    </row>
    <row r="25" spans="1:13" s="10" customFormat="1" ht="27.6" x14ac:dyDescent="0.3">
      <c r="A25" s="8">
        <v>1017</v>
      </c>
      <c r="B25" s="9" t="s">
        <v>29</v>
      </c>
      <c r="C25" s="10" t="s">
        <v>61</v>
      </c>
      <c r="D25" s="11" t="s">
        <v>62</v>
      </c>
      <c r="E25" s="13">
        <v>0.2</v>
      </c>
      <c r="F25" s="42">
        <v>100</v>
      </c>
      <c r="G25" s="44"/>
      <c r="H25" s="43">
        <f t="shared" si="0"/>
        <v>25</v>
      </c>
      <c r="I25" s="43">
        <f>F25</f>
        <v>100</v>
      </c>
      <c r="J25" s="43">
        <f t="shared" si="1"/>
        <v>400</v>
      </c>
      <c r="K25" s="43">
        <f ca="1">_xll.RiskMakeInput(_xll.RiskPert(H25,I25,J25)*_xll.RiskBernoulli(E25))</f>
        <v>0</v>
      </c>
      <c r="L25" s="49"/>
      <c r="M25" s="11" t="s">
        <v>160</v>
      </c>
    </row>
    <row r="26" spans="1:13" s="10" customFormat="1" ht="27.6" x14ac:dyDescent="0.3">
      <c r="A26" s="8">
        <v>1018</v>
      </c>
      <c r="B26" s="9" t="s">
        <v>28</v>
      </c>
      <c r="C26" s="10" t="s">
        <v>63</v>
      </c>
      <c r="D26" s="11" t="s">
        <v>64</v>
      </c>
      <c r="E26" s="13">
        <v>0.1</v>
      </c>
      <c r="F26" s="42">
        <v>30</v>
      </c>
      <c r="G26" s="44"/>
      <c r="H26" s="53">
        <f t="shared" si="0"/>
        <v>3.7499999999999999E-3</v>
      </c>
      <c r="I26" s="53">
        <f>+F26/$K$3</f>
        <v>1.4999999999999999E-2</v>
      </c>
      <c r="J26" s="53">
        <f t="shared" si="1"/>
        <v>0.06</v>
      </c>
      <c r="K26" s="53">
        <f ca="1">_xll.RiskMakeInput(_xll.RiskPert(H26,I26,J26)*_xll.RiskBernoulli(E26))</f>
        <v>0</v>
      </c>
      <c r="L26" s="49" t="s">
        <v>139</v>
      </c>
      <c r="M26" s="11" t="s">
        <v>160</v>
      </c>
    </row>
    <row r="27" spans="1:13" s="10" customFormat="1" ht="27.6" x14ac:dyDescent="0.3">
      <c r="A27" s="8">
        <v>1019</v>
      </c>
      <c r="B27" s="9" t="s">
        <v>12</v>
      </c>
      <c r="C27" s="10" t="s">
        <v>65</v>
      </c>
      <c r="D27" s="11" t="s">
        <v>66</v>
      </c>
      <c r="E27" s="13">
        <v>0.2</v>
      </c>
      <c r="F27" s="42">
        <f>+'P-L'!D10*0.05*$K$2</f>
        <v>48</v>
      </c>
      <c r="G27" s="44"/>
      <c r="H27" s="43">
        <f t="shared" si="0"/>
        <v>-480</v>
      </c>
      <c r="I27" s="43">
        <f>-F27/$K$2</f>
        <v>-120</v>
      </c>
      <c r="J27" s="43">
        <f t="shared" si="1"/>
        <v>-30</v>
      </c>
      <c r="K27" s="43">
        <f ca="1">_xll.RiskMakeInput(_xll.RiskPert(H27,I27,J27)*_xll.RiskBernoulli(E27))</f>
        <v>0</v>
      </c>
      <c r="L27" s="49" t="s">
        <v>140</v>
      </c>
      <c r="M27" s="11" t="s">
        <v>160</v>
      </c>
    </row>
    <row r="28" spans="1:13" s="10" customFormat="1" ht="27.6" x14ac:dyDescent="0.3">
      <c r="A28" s="8">
        <v>1020</v>
      </c>
      <c r="B28" s="9" t="s">
        <v>12</v>
      </c>
      <c r="C28" s="10" t="s">
        <v>67</v>
      </c>
      <c r="D28" s="11" t="s">
        <v>68</v>
      </c>
      <c r="E28" s="13">
        <v>0.05</v>
      </c>
      <c r="F28" s="42">
        <f>10/50*'P-L'!$D$10*K2</f>
        <v>192</v>
      </c>
      <c r="G28" s="44"/>
      <c r="H28" s="43">
        <f t="shared" si="0"/>
        <v>-1920</v>
      </c>
      <c r="I28" s="43">
        <f>-F28/$K$2</f>
        <v>-480</v>
      </c>
      <c r="J28" s="43">
        <f t="shared" si="1"/>
        <v>-120</v>
      </c>
      <c r="K28" s="43">
        <f ca="1">_xll.RiskMakeInput(_xll.RiskPert(H28,I28,J28)*_xll.RiskBernoulli(E28))</f>
        <v>0</v>
      </c>
      <c r="L28" s="49" t="s">
        <v>140</v>
      </c>
      <c r="M28" s="11" t="s">
        <v>160</v>
      </c>
    </row>
    <row r="29" spans="1:13" s="10" customFormat="1" ht="27.6" x14ac:dyDescent="0.3">
      <c r="A29" s="8">
        <v>1021</v>
      </c>
      <c r="B29" s="9" t="s">
        <v>29</v>
      </c>
      <c r="C29" s="10" t="s">
        <v>69</v>
      </c>
      <c r="D29" s="11" t="s">
        <v>70</v>
      </c>
      <c r="E29" s="13">
        <v>0.1</v>
      </c>
      <c r="F29" s="42">
        <v>80</v>
      </c>
      <c r="G29" s="44"/>
      <c r="H29" s="43">
        <f t="shared" si="0"/>
        <v>20</v>
      </c>
      <c r="I29" s="43">
        <f>F29</f>
        <v>80</v>
      </c>
      <c r="J29" s="43">
        <f t="shared" si="1"/>
        <v>320</v>
      </c>
      <c r="K29" s="43">
        <f ca="1">_xll.RiskMakeInput(_xll.RiskPert(H29,I29,J29)*_xll.RiskBernoulli(E29))</f>
        <v>0</v>
      </c>
      <c r="L29" s="49"/>
      <c r="M29" s="11" t="s">
        <v>160</v>
      </c>
    </row>
    <row r="30" spans="1:13" s="10" customFormat="1" ht="27.6" x14ac:dyDescent="0.3">
      <c r="A30" s="8">
        <v>1022</v>
      </c>
      <c r="B30" s="9" t="s">
        <v>29</v>
      </c>
      <c r="C30" s="10" t="s">
        <v>71</v>
      </c>
      <c r="D30" s="11" t="s">
        <v>115</v>
      </c>
      <c r="E30" s="13">
        <v>0.03</v>
      </c>
      <c r="F30" s="42">
        <v>40</v>
      </c>
      <c r="G30" s="44"/>
      <c r="H30" s="43">
        <f t="shared" si="0"/>
        <v>10</v>
      </c>
      <c r="I30" s="43">
        <f>F30</f>
        <v>40</v>
      </c>
      <c r="J30" s="43">
        <f t="shared" si="1"/>
        <v>160</v>
      </c>
      <c r="K30" s="43">
        <f ca="1">_xll.RiskMakeInput(_xll.RiskPert(H30,I30,J30)*_xll.RiskBernoulli(E30))</f>
        <v>0</v>
      </c>
      <c r="L30" s="49"/>
      <c r="M30" s="11" t="s">
        <v>160</v>
      </c>
    </row>
    <row r="31" spans="1:13" s="10" customFormat="1" x14ac:dyDescent="0.3">
      <c r="A31" s="8"/>
      <c r="B31" s="9"/>
      <c r="D31" s="11"/>
      <c r="E31" s="12"/>
      <c r="F31" s="42"/>
      <c r="G31" s="44"/>
      <c r="H31" s="43"/>
      <c r="I31" s="43"/>
      <c r="J31" s="43"/>
      <c r="K31" s="43"/>
      <c r="L31" s="49"/>
    </row>
    <row r="32" spans="1:13" s="10" customFormat="1" x14ac:dyDescent="0.3">
      <c r="A32" s="8"/>
      <c r="B32" s="9"/>
      <c r="D32" s="11"/>
      <c r="E32" s="12"/>
      <c r="F32" s="42"/>
      <c r="G32" s="45"/>
      <c r="H32" s="84" t="s">
        <v>83</v>
      </c>
      <c r="I32" s="84"/>
      <c r="J32" s="84" t="s">
        <v>9</v>
      </c>
      <c r="K32" s="84">
        <f ca="1">SUMIF($B$7:$B$30,J32,$K$7:$K$30)</f>
        <v>538.57798341200476</v>
      </c>
      <c r="L32" s="102" t="s">
        <v>161</v>
      </c>
    </row>
    <row r="33" spans="1:12" s="10" customFormat="1" x14ac:dyDescent="0.3">
      <c r="A33" s="8"/>
      <c r="B33" s="9"/>
      <c r="D33" s="11"/>
      <c r="E33" s="12"/>
      <c r="F33" s="42"/>
      <c r="G33" s="44"/>
      <c r="H33" s="84"/>
      <c r="I33" s="84"/>
      <c r="J33" s="84" t="s">
        <v>12</v>
      </c>
      <c r="K33" s="84">
        <f t="shared" ref="K33:K35" ca="1" si="2">SUMIF($B$7:$B$30,J33,$K$7:$K$30)</f>
        <v>0</v>
      </c>
      <c r="L33" s="102"/>
    </row>
    <row r="34" spans="1:12" s="10" customFormat="1" x14ac:dyDescent="0.3">
      <c r="A34" s="8"/>
      <c r="B34" s="9"/>
      <c r="D34" s="11"/>
      <c r="E34" s="12"/>
      <c r="F34" s="42"/>
      <c r="G34" s="44"/>
      <c r="H34" s="84"/>
      <c r="I34" s="84"/>
      <c r="J34" s="84" t="s">
        <v>28</v>
      </c>
      <c r="K34" s="85">
        <f t="shared" ca="1" si="2"/>
        <v>-1.6620372695349682E-2</v>
      </c>
      <c r="L34" s="102"/>
    </row>
    <row r="35" spans="1:12" s="10" customFormat="1" x14ac:dyDescent="0.3">
      <c r="A35" s="8"/>
      <c r="B35" s="9"/>
      <c r="D35" s="11"/>
      <c r="E35" s="12"/>
      <c r="F35" s="42"/>
      <c r="G35" s="44"/>
      <c r="H35" s="84"/>
      <c r="I35" s="84"/>
      <c r="J35" s="84" t="s">
        <v>29</v>
      </c>
      <c r="K35" s="84">
        <f t="shared" ca="1" si="2"/>
        <v>-2.5466929713852124</v>
      </c>
      <c r="L35" s="102"/>
    </row>
    <row r="36" spans="1:12" s="10" customFormat="1" x14ac:dyDescent="0.3">
      <c r="A36" s="8"/>
      <c r="B36" s="9"/>
      <c r="D36" s="11"/>
      <c r="E36" s="12"/>
      <c r="F36" s="42"/>
      <c r="G36" s="44"/>
      <c r="H36" s="43"/>
      <c r="I36" s="43"/>
      <c r="J36" s="43"/>
      <c r="K36" s="43"/>
      <c r="L36" s="49"/>
    </row>
    <row r="37" spans="1:12" s="10" customFormat="1" x14ac:dyDescent="0.3">
      <c r="A37" s="8"/>
      <c r="B37" s="9"/>
      <c r="D37" s="11"/>
      <c r="E37" s="12"/>
      <c r="F37" s="42"/>
      <c r="G37" s="44"/>
      <c r="H37" s="43"/>
      <c r="I37" s="43"/>
      <c r="J37" s="43"/>
      <c r="K37" s="43"/>
      <c r="L37" s="49"/>
    </row>
    <row r="38" spans="1:12" s="10" customFormat="1" x14ac:dyDescent="0.3">
      <c r="A38" s="8"/>
      <c r="B38" s="9"/>
      <c r="D38" s="11"/>
      <c r="E38" s="12"/>
      <c r="F38" s="42"/>
      <c r="G38" s="44"/>
      <c r="H38" s="43"/>
      <c r="I38" s="43"/>
      <c r="J38" s="43"/>
      <c r="K38" s="43"/>
      <c r="L38" s="49"/>
    </row>
    <row r="39" spans="1:12" s="10" customFormat="1" x14ac:dyDescent="0.3">
      <c r="A39" s="8"/>
      <c r="B39" s="9"/>
      <c r="D39" s="11"/>
      <c r="E39" s="12"/>
      <c r="F39" s="42"/>
      <c r="G39" s="44"/>
      <c r="H39" s="43"/>
      <c r="I39" s="43"/>
      <c r="J39" s="43"/>
      <c r="K39" s="43"/>
      <c r="L39" s="49"/>
    </row>
    <row r="40" spans="1:12" s="10" customFormat="1" x14ac:dyDescent="0.3">
      <c r="A40" s="8"/>
      <c r="B40" s="9"/>
      <c r="D40" s="11"/>
      <c r="E40" s="12"/>
      <c r="F40" s="42"/>
      <c r="G40" s="44"/>
      <c r="H40" s="43"/>
      <c r="I40" s="43"/>
      <c r="J40" s="43"/>
      <c r="K40" s="43"/>
      <c r="L40" s="49"/>
    </row>
    <row r="41" spans="1:12" s="10" customFormat="1" x14ac:dyDescent="0.3">
      <c r="A41" s="8"/>
      <c r="B41" s="9"/>
      <c r="D41" s="11"/>
      <c r="E41" s="12"/>
      <c r="F41" s="42"/>
      <c r="G41" s="44"/>
      <c r="H41" s="43"/>
      <c r="I41" s="43"/>
      <c r="J41" s="43"/>
      <c r="K41" s="43"/>
      <c r="L41" s="49"/>
    </row>
    <row r="42" spans="1:12" s="10" customFormat="1" x14ac:dyDescent="0.3">
      <c r="A42" s="8"/>
      <c r="B42" s="9"/>
      <c r="D42" s="11"/>
      <c r="E42" s="12"/>
      <c r="F42" s="42"/>
      <c r="G42" s="44"/>
      <c r="H42" s="43"/>
      <c r="I42" s="43"/>
      <c r="J42" s="43"/>
      <c r="K42" s="43"/>
      <c r="L42" s="49"/>
    </row>
    <row r="43" spans="1:12" s="10" customFormat="1" x14ac:dyDescent="0.3">
      <c r="A43" s="8"/>
      <c r="B43" s="9"/>
      <c r="D43" s="11"/>
      <c r="E43" s="12"/>
      <c r="F43" s="42"/>
      <c r="G43" s="44"/>
      <c r="H43" s="43"/>
      <c r="I43" s="43"/>
      <c r="J43" s="43"/>
      <c r="K43" s="43"/>
      <c r="L43" s="49"/>
    </row>
    <row r="44" spans="1:12" s="10" customFormat="1" x14ac:dyDescent="0.3">
      <c r="A44" s="8"/>
      <c r="B44" s="9"/>
      <c r="D44" s="11"/>
      <c r="E44" s="12"/>
      <c r="F44" s="42"/>
      <c r="G44" s="44"/>
      <c r="H44" s="43"/>
      <c r="I44" s="43"/>
      <c r="J44" s="43"/>
      <c r="K44" s="43"/>
      <c r="L44" s="49"/>
    </row>
    <row r="45" spans="1:12" s="10" customFormat="1" x14ac:dyDescent="0.3">
      <c r="A45" s="8"/>
      <c r="B45" s="9"/>
      <c r="D45" s="11"/>
      <c r="E45" s="12"/>
      <c r="F45" s="42"/>
      <c r="G45" s="44"/>
      <c r="H45" s="43"/>
      <c r="I45" s="43"/>
      <c r="J45" s="43"/>
      <c r="K45" s="43"/>
      <c r="L45" s="49"/>
    </row>
    <row r="46" spans="1:12" s="10" customFormat="1" x14ac:dyDescent="0.3">
      <c r="A46" s="8"/>
      <c r="B46" s="9"/>
      <c r="D46" s="11"/>
      <c r="E46" s="12"/>
      <c r="F46" s="42"/>
      <c r="G46" s="44"/>
      <c r="H46" s="43"/>
      <c r="I46" s="43"/>
      <c r="J46" s="43"/>
      <c r="K46" s="43"/>
      <c r="L46" s="49"/>
    </row>
    <row r="47" spans="1:12" s="10" customFormat="1" x14ac:dyDescent="0.3">
      <c r="A47" s="8"/>
      <c r="B47" s="9"/>
      <c r="D47" s="11"/>
      <c r="E47" s="12"/>
      <c r="F47" s="42"/>
      <c r="G47" s="44"/>
      <c r="H47" s="43"/>
      <c r="I47" s="43"/>
      <c r="J47" s="43"/>
      <c r="K47" s="43"/>
      <c r="L47" s="49"/>
    </row>
    <row r="48" spans="1:12" s="10" customFormat="1" x14ac:dyDescent="0.3">
      <c r="A48" s="8"/>
      <c r="B48" s="9"/>
      <c r="D48" s="11"/>
      <c r="E48" s="12"/>
      <c r="F48" s="42"/>
      <c r="G48" s="44"/>
      <c r="H48" s="43"/>
      <c r="I48" s="43"/>
      <c r="J48" s="43"/>
      <c r="K48" s="43"/>
      <c r="L48" s="49"/>
    </row>
    <row r="49" spans="1:12" s="10" customFormat="1" x14ac:dyDescent="0.3">
      <c r="A49" s="8"/>
      <c r="B49" s="9"/>
      <c r="D49" s="11"/>
      <c r="E49" s="12"/>
      <c r="F49" s="42"/>
      <c r="G49" s="44"/>
      <c r="H49" s="43"/>
      <c r="I49" s="43"/>
      <c r="J49" s="43"/>
      <c r="K49" s="43"/>
      <c r="L49" s="49"/>
    </row>
    <row r="50" spans="1:12" s="10" customFormat="1" x14ac:dyDescent="0.3">
      <c r="A50" s="8"/>
      <c r="B50" s="9"/>
      <c r="D50" s="11"/>
      <c r="E50" s="12"/>
      <c r="F50" s="42"/>
      <c r="G50" s="44"/>
      <c r="H50" s="43"/>
      <c r="I50" s="43"/>
      <c r="J50" s="43"/>
      <c r="K50" s="43"/>
      <c r="L50" s="49"/>
    </row>
    <row r="51" spans="1:12" s="10" customFormat="1" x14ac:dyDescent="0.3">
      <c r="A51" s="8"/>
      <c r="B51" s="9"/>
      <c r="D51" s="11"/>
      <c r="E51" s="12"/>
      <c r="F51" s="42"/>
      <c r="G51" s="44"/>
      <c r="H51" s="43"/>
      <c r="I51" s="43"/>
      <c r="J51" s="43"/>
      <c r="K51" s="43"/>
      <c r="L51" s="49"/>
    </row>
  </sheetData>
  <mergeCells count="2">
    <mergeCell ref="E5:F5"/>
    <mergeCell ref="L32:L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4F8DB-C5D2-4A67-BF49-538FA859877E}">
  <dimension ref="A1:O28"/>
  <sheetViews>
    <sheetView topLeftCell="A4" workbookViewId="0">
      <selection activeCell="J30" sqref="J30"/>
    </sheetView>
  </sheetViews>
  <sheetFormatPr defaultRowHeight="13.8" x14ac:dyDescent="0.25"/>
  <cols>
    <col min="1" max="1" width="40.44140625" style="1" customWidth="1"/>
    <col min="2" max="2" width="8.88671875" style="7"/>
    <col min="3" max="3" width="8.88671875" style="3"/>
    <col min="4" max="9" width="8.88671875" style="1"/>
    <col min="10" max="11" width="10.77734375" style="1" customWidth="1"/>
    <col min="12" max="12" width="10.77734375" style="1" hidden="1" customWidth="1"/>
    <col min="13" max="13" width="8.88671875" style="1"/>
    <col min="14" max="14" width="10.44140625" style="1" bestFit="1" customWidth="1"/>
    <col min="15" max="16384" width="8.88671875" style="1"/>
  </cols>
  <sheetData>
    <row r="1" spans="1:14" ht="21" x14ac:dyDescent="0.4">
      <c r="A1" s="6" t="s">
        <v>0</v>
      </c>
    </row>
    <row r="2" spans="1:14" ht="21" x14ac:dyDescent="0.4">
      <c r="A2" s="6" t="s">
        <v>15</v>
      </c>
    </row>
    <row r="3" spans="1:14" x14ac:dyDescent="0.25">
      <c r="C3" s="108" t="s">
        <v>23</v>
      </c>
      <c r="D3" s="108"/>
      <c r="E3" s="108"/>
      <c r="F3" s="108"/>
    </row>
    <row r="4" spans="1:14" ht="14.4" thickBot="1" x14ac:dyDescent="0.3">
      <c r="A4" s="14" t="s">
        <v>16</v>
      </c>
      <c r="B4" s="89" t="s">
        <v>7</v>
      </c>
      <c r="C4" s="15" t="s">
        <v>17</v>
      </c>
      <c r="D4" s="16" t="s">
        <v>22</v>
      </c>
      <c r="E4" s="15" t="s">
        <v>18</v>
      </c>
      <c r="F4" s="15" t="s">
        <v>185</v>
      </c>
      <c r="I4" s="19" t="s">
        <v>147</v>
      </c>
    </row>
    <row r="5" spans="1:14" x14ac:dyDescent="0.25">
      <c r="I5" s="111" t="s">
        <v>177</v>
      </c>
      <c r="J5" s="103" t="s">
        <v>176</v>
      </c>
      <c r="K5" s="103"/>
      <c r="L5" s="103"/>
      <c r="M5" s="104"/>
    </row>
    <row r="6" spans="1:14" x14ac:dyDescent="0.25">
      <c r="A6" s="1" t="s">
        <v>21</v>
      </c>
      <c r="C6" s="25">
        <v>1900</v>
      </c>
      <c r="D6" s="26">
        <v>2000</v>
      </c>
      <c r="E6" s="26">
        <v>2300</v>
      </c>
      <c r="F6" s="27">
        <f ca="1">_xll.RiskPert(C6,D6,E6)</f>
        <v>1992.0040706081575</v>
      </c>
      <c r="I6" s="112"/>
      <c r="J6" s="87" t="s">
        <v>82</v>
      </c>
      <c r="K6" s="87" t="s">
        <v>146</v>
      </c>
      <c r="L6" s="87" t="s">
        <v>144</v>
      </c>
      <c r="M6" s="88" t="s">
        <v>145</v>
      </c>
    </row>
    <row r="7" spans="1:14" x14ac:dyDescent="0.25">
      <c r="A7" s="1" t="s">
        <v>76</v>
      </c>
      <c r="B7" s="7" t="s">
        <v>9</v>
      </c>
      <c r="C7" s="25"/>
      <c r="D7" s="26"/>
      <c r="E7" s="26"/>
      <c r="F7" s="26">
        <f ca="1">+'ERM (2)'!K32</f>
        <v>538.57798341200476</v>
      </c>
      <c r="I7" s="59" t="s">
        <v>149</v>
      </c>
      <c r="J7" s="60">
        <f ca="1">_xll.RiskTarget(F28,0)</f>
        <v>0</v>
      </c>
      <c r="K7" s="60">
        <f ca="1">_xll.RiskTargetD(F14,F8*K18)</f>
        <v>0</v>
      </c>
      <c r="L7" s="60">
        <f ca="1">_xll.RiskTarget(F16,K17)</f>
        <v>0</v>
      </c>
      <c r="M7" s="61">
        <f ca="1">_xll.RiskTarget(F8,K17)</f>
        <v>0</v>
      </c>
    </row>
    <row r="8" spans="1:14" x14ac:dyDescent="0.25">
      <c r="A8" s="1" t="s">
        <v>24</v>
      </c>
      <c r="C8" s="25"/>
      <c r="D8" s="26"/>
      <c r="E8" s="26"/>
      <c r="F8" s="34">
        <f ca="1">_xll.RiskOutput("Net Demand")++F6+F7</f>
        <v>2530.5820540201621</v>
      </c>
      <c r="I8" s="59" t="s">
        <v>143</v>
      </c>
      <c r="J8" s="60">
        <f ca="1">_xll.RiskTarget($F$28,F16*$M$19)-J7</f>
        <v>0</v>
      </c>
      <c r="K8" s="60">
        <f ca="1">_xll.RiskTargetD(F14,F8*M18)-K7</f>
        <v>0</v>
      </c>
      <c r="L8" s="60">
        <f ca="1">_xll.RiskTarget(F16,M17)-L7</f>
        <v>0</v>
      </c>
      <c r="M8" s="61">
        <f ca="1">_xll.RiskTarget(F8,M17)-M7</f>
        <v>0</v>
      </c>
    </row>
    <row r="9" spans="1:14" x14ac:dyDescent="0.25">
      <c r="C9" s="25"/>
      <c r="D9" s="26"/>
      <c r="E9" s="26"/>
      <c r="F9" s="26"/>
      <c r="I9" s="59" t="s">
        <v>148</v>
      </c>
      <c r="J9" s="60">
        <f t="shared" ref="J9:K9" ca="1" si="0">1-J7-J10-J8</f>
        <v>0</v>
      </c>
      <c r="K9" s="60">
        <f t="shared" ca="1" si="0"/>
        <v>1</v>
      </c>
      <c r="L9" s="60">
        <f ca="1">1-L7-L10-L8</f>
        <v>0</v>
      </c>
      <c r="M9" s="61">
        <f ca="1">1-M7-M10-M8</f>
        <v>0</v>
      </c>
    </row>
    <row r="10" spans="1:14" x14ac:dyDescent="0.25">
      <c r="A10" s="1" t="s">
        <v>25</v>
      </c>
      <c r="C10" s="25">
        <v>2300</v>
      </c>
      <c r="D10" s="26">
        <v>2400</v>
      </c>
      <c r="E10" s="26">
        <v>2500</v>
      </c>
      <c r="F10" s="27">
        <f ca="1">_xll.RiskPert(C10,D10,E10)</f>
        <v>2446.7375967534672</v>
      </c>
      <c r="I10" s="62" t="s">
        <v>142</v>
      </c>
      <c r="J10" s="63">
        <f ca="1">_xll.RiskTargetD(F28,D28)</f>
        <v>1</v>
      </c>
      <c r="K10" s="63">
        <f ca="1">_xll.RiskTarget(F14,0)</f>
        <v>0</v>
      </c>
      <c r="L10" s="63">
        <f ca="1">_xll.RiskTargetD(F16,D6)</f>
        <v>1</v>
      </c>
      <c r="M10" s="64">
        <f ca="1">_xll.RiskTargetD(F8,D6)</f>
        <v>1</v>
      </c>
    </row>
    <row r="11" spans="1:14" x14ac:dyDescent="0.25">
      <c r="A11" s="1" t="s">
        <v>77</v>
      </c>
      <c r="B11" s="7" t="s">
        <v>12</v>
      </c>
      <c r="C11" s="25"/>
      <c r="D11" s="26"/>
      <c r="E11" s="26"/>
      <c r="F11" s="26">
        <f ca="1">+'ERM (2)'!K33</f>
        <v>0</v>
      </c>
    </row>
    <row r="12" spans="1:14" x14ac:dyDescent="0.25">
      <c r="A12" s="1" t="s">
        <v>26</v>
      </c>
      <c r="C12" s="25"/>
      <c r="D12" s="26"/>
      <c r="E12" s="26"/>
      <c r="F12" s="34">
        <f ca="1">_xll.RiskOutput("Supply capacity")++F10+F11</f>
        <v>2446.7375967534672</v>
      </c>
    </row>
    <row r="13" spans="1:14" x14ac:dyDescent="0.25">
      <c r="C13" s="25"/>
      <c r="D13" s="26"/>
      <c r="E13" s="26"/>
      <c r="F13" s="26"/>
    </row>
    <row r="14" spans="1:14" x14ac:dyDescent="0.25">
      <c r="A14" s="1" t="s">
        <v>73</v>
      </c>
      <c r="C14" s="25"/>
      <c r="D14" s="26"/>
      <c r="E14" s="26"/>
      <c r="F14" s="26">
        <f ca="1">_xll.RiskOutput("Capacity constraint")+MAX(0,F8-F12)</f>
        <v>83.844457266694917</v>
      </c>
    </row>
    <row r="15" spans="1:14" x14ac:dyDescent="0.25">
      <c r="A15" s="1" t="s">
        <v>75</v>
      </c>
      <c r="C15" s="25"/>
      <c r="D15" s="26"/>
      <c r="E15" s="26"/>
      <c r="F15" s="28">
        <f ca="1">_xll.RiskTargetD(F14,0)</f>
        <v>1</v>
      </c>
    </row>
    <row r="16" spans="1:14" ht="27.6" x14ac:dyDescent="0.25">
      <c r="A16" s="31" t="s">
        <v>27</v>
      </c>
      <c r="B16" s="90"/>
      <c r="C16" s="32"/>
      <c r="D16" s="33"/>
      <c r="E16" s="33"/>
      <c r="F16" s="33">
        <f ca="1">_xll.RiskOutput("Net Revenue")+MIN(F8,F12)</f>
        <v>2446.7375967534672</v>
      </c>
      <c r="G16" s="2" t="s">
        <v>155</v>
      </c>
      <c r="I16" s="109" t="s">
        <v>156</v>
      </c>
      <c r="J16" s="110"/>
      <c r="K16" s="71" t="s">
        <v>152</v>
      </c>
      <c r="L16" s="86" t="s">
        <v>143</v>
      </c>
      <c r="M16" s="71" t="s">
        <v>154</v>
      </c>
      <c r="N16" s="72" t="s">
        <v>153</v>
      </c>
    </row>
    <row r="17" spans="1:15" x14ac:dyDescent="0.25">
      <c r="C17" s="25"/>
      <c r="D17" s="26"/>
      <c r="E17" s="26"/>
      <c r="F17" s="26"/>
      <c r="I17" s="65" t="s">
        <v>150</v>
      </c>
      <c r="J17" s="73"/>
      <c r="K17" s="1">
        <f>+M17*0.8</f>
        <v>1520</v>
      </c>
      <c r="L17" s="105" t="s">
        <v>178</v>
      </c>
      <c r="M17" s="26">
        <v>1900</v>
      </c>
      <c r="N17" s="66">
        <f>+D6</f>
        <v>2000</v>
      </c>
    </row>
    <row r="18" spans="1:15" x14ac:dyDescent="0.25">
      <c r="A18" s="1" t="s">
        <v>79</v>
      </c>
      <c r="C18" s="57">
        <v>0.38</v>
      </c>
      <c r="D18" s="58">
        <v>0.4</v>
      </c>
      <c r="E18" s="58">
        <v>0.43</v>
      </c>
      <c r="F18" s="53">
        <f ca="1">_xll.RiskPert(C18,D18,E18)</f>
        <v>0.39883555642730634</v>
      </c>
      <c r="I18" s="65" t="s">
        <v>151</v>
      </c>
      <c r="J18" s="73"/>
      <c r="K18" s="24">
        <v>0.25</v>
      </c>
      <c r="L18" s="106"/>
      <c r="M18" s="24">
        <v>0.05</v>
      </c>
      <c r="N18" s="67">
        <v>0</v>
      </c>
    </row>
    <row r="19" spans="1:15" x14ac:dyDescent="0.25">
      <c r="A19" s="1" t="s">
        <v>81</v>
      </c>
      <c r="B19" s="7" t="s">
        <v>28</v>
      </c>
      <c r="C19" s="25"/>
      <c r="D19" s="26"/>
      <c r="E19" s="26"/>
      <c r="F19" s="56">
        <f ca="1">+'ERM (2)'!K34</f>
        <v>-1.6620372695349682E-2</v>
      </c>
      <c r="I19" s="68" t="s">
        <v>82</v>
      </c>
      <c r="J19" s="74"/>
      <c r="K19" s="69">
        <v>0</v>
      </c>
      <c r="L19" s="107"/>
      <c r="M19" s="69">
        <v>0.05</v>
      </c>
      <c r="N19" s="70">
        <f>+D28</f>
        <v>200</v>
      </c>
      <c r="O19" s="1" t="s">
        <v>157</v>
      </c>
    </row>
    <row r="20" spans="1:15" x14ac:dyDescent="0.25">
      <c r="A20" s="1" t="s">
        <v>158</v>
      </c>
      <c r="C20" s="25"/>
      <c r="D20" s="26"/>
      <c r="E20" s="26"/>
      <c r="F20" s="56">
        <f ca="1">+F18+F19</f>
        <v>0.38221518373195668</v>
      </c>
    </row>
    <row r="21" spans="1:15" x14ac:dyDescent="0.25">
      <c r="A21" s="1" t="s">
        <v>80</v>
      </c>
      <c r="C21" s="25"/>
      <c r="D21" s="26">
        <f>+D6*D18</f>
        <v>800</v>
      </c>
      <c r="E21" s="26"/>
      <c r="F21" s="26">
        <f ca="1">+F16*F20</f>
        <v>935.18026008701258</v>
      </c>
    </row>
    <row r="22" spans="1:15" x14ac:dyDescent="0.25">
      <c r="C22" s="25"/>
      <c r="D22" s="26"/>
      <c r="E22" s="26"/>
      <c r="F22" s="26"/>
    </row>
    <row r="23" spans="1:15" ht="27.6" x14ac:dyDescent="0.25">
      <c r="A23" s="31" t="s">
        <v>19</v>
      </c>
      <c r="B23" s="90"/>
      <c r="C23" s="32"/>
      <c r="D23" s="33">
        <f>+D6-D21</f>
        <v>1200</v>
      </c>
      <c r="E23" s="33"/>
      <c r="F23" s="33">
        <f ca="1">+F16-F21</f>
        <v>1511.5573366664546</v>
      </c>
      <c r="G23" s="2" t="s">
        <v>155</v>
      </c>
    </row>
    <row r="24" spans="1:15" x14ac:dyDescent="0.25">
      <c r="C24" s="25"/>
      <c r="D24" s="26"/>
      <c r="E24" s="26"/>
      <c r="F24" s="26"/>
    </row>
    <row r="25" spans="1:15" x14ac:dyDescent="0.25">
      <c r="A25" s="1" t="s">
        <v>20</v>
      </c>
      <c r="C25" s="25">
        <v>950</v>
      </c>
      <c r="D25" s="26">
        <v>1000</v>
      </c>
      <c r="E25" s="26">
        <v>1100</v>
      </c>
      <c r="F25" s="27">
        <f ca="1">_xll.RiskPert(C25,D25,E25)</f>
        <v>1020.3515549521358</v>
      </c>
    </row>
    <row r="26" spans="1:15" x14ac:dyDescent="0.25">
      <c r="A26" s="1" t="s">
        <v>78</v>
      </c>
      <c r="B26" s="7" t="s">
        <v>29</v>
      </c>
      <c r="C26" s="25"/>
      <c r="D26" s="26"/>
      <c r="E26" s="26"/>
      <c r="F26" s="26">
        <f ca="1">+'ERM (2)'!K35</f>
        <v>-2.5466929713852124</v>
      </c>
    </row>
    <row r="27" spans="1:15" x14ac:dyDescent="0.25">
      <c r="C27" s="25"/>
      <c r="D27" s="26"/>
      <c r="E27" s="26"/>
      <c r="F27" s="26"/>
    </row>
    <row r="28" spans="1:15" ht="28.2" thickBot="1" x14ac:dyDescent="0.3">
      <c r="A28" s="35" t="s">
        <v>82</v>
      </c>
      <c r="B28" s="91"/>
      <c r="C28" s="36"/>
      <c r="D28" s="37">
        <f>+D23-D25</f>
        <v>200</v>
      </c>
      <c r="E28" s="37"/>
      <c r="F28" s="37">
        <f ca="1">_xll.RiskOutput("Profit")++F23-F25-F26</f>
        <v>493.75247468570404</v>
      </c>
      <c r="G28" s="2" t="s">
        <v>155</v>
      </c>
    </row>
  </sheetData>
  <mergeCells count="5">
    <mergeCell ref="J5:M5"/>
    <mergeCell ref="L17:L19"/>
    <mergeCell ref="C3:F3"/>
    <mergeCell ref="I16:J16"/>
    <mergeCell ref="I5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70E7-3696-4B77-91D6-4258C745DE16}">
  <dimension ref="A1:G91"/>
  <sheetViews>
    <sheetView tabSelected="1" topLeftCell="A19" zoomScaleNormal="100" workbookViewId="0">
      <selection activeCell="A20" sqref="A20"/>
    </sheetView>
  </sheetViews>
  <sheetFormatPr defaultRowHeight="13.8" x14ac:dyDescent="0.25"/>
  <cols>
    <col min="1" max="2" width="104.44140625" style="1" customWidth="1"/>
    <col min="3" max="16384" width="8.88671875" style="1"/>
  </cols>
  <sheetData>
    <row r="1" spans="1:2" ht="21" x14ac:dyDescent="0.4">
      <c r="A1" s="6" t="s">
        <v>0</v>
      </c>
      <c r="B1" s="6"/>
    </row>
    <row r="2" spans="1:2" ht="21" x14ac:dyDescent="0.4">
      <c r="A2" s="6" t="s">
        <v>74</v>
      </c>
      <c r="B2" s="6"/>
    </row>
    <row r="3" spans="1:2" ht="15.6" x14ac:dyDescent="0.3">
      <c r="A3" s="29"/>
      <c r="B3" s="29"/>
    </row>
    <row r="4" spans="1:2" x14ac:dyDescent="0.25">
      <c r="A4" s="19" t="s">
        <v>183</v>
      </c>
      <c r="B4" s="19" t="s">
        <v>184</v>
      </c>
    </row>
    <row r="6" spans="1:2" ht="309.60000000000002" customHeight="1" x14ac:dyDescent="0.25"/>
    <row r="8" spans="1:2" x14ac:dyDescent="0.25">
      <c r="A8" s="1" t="s">
        <v>145</v>
      </c>
    </row>
    <row r="9" spans="1:2" ht="310.05" customHeight="1" x14ac:dyDescent="0.25"/>
    <row r="11" spans="1:2" x14ac:dyDescent="0.25">
      <c r="A11" s="1" t="s">
        <v>25</v>
      </c>
    </row>
    <row r="12" spans="1:2" ht="309.60000000000002" customHeight="1" x14ac:dyDescent="0.25"/>
    <row r="13" spans="1:2" x14ac:dyDescent="0.25">
      <c r="A13" s="1" t="s">
        <v>27</v>
      </c>
    </row>
    <row r="14" spans="1:2" ht="310.05" customHeight="1" x14ac:dyDescent="0.25"/>
    <row r="16" spans="1:2" x14ac:dyDescent="0.25">
      <c r="A16" s="1" t="s">
        <v>82</v>
      </c>
    </row>
    <row r="17" spans="1:1" ht="310.05" customHeight="1" x14ac:dyDescent="0.25"/>
    <row r="19" spans="1:1" x14ac:dyDescent="0.25">
      <c r="A19" s="1" t="s">
        <v>182</v>
      </c>
    </row>
    <row r="20" spans="1:1" ht="310.05" customHeight="1" x14ac:dyDescent="0.25"/>
    <row r="91" spans="1:7" ht="15" x14ac:dyDescent="0.25">
      <c r="A91" s="30"/>
      <c r="B91" s="30"/>
      <c r="G91" s="24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8957-28B4-4EED-A971-14210969086E}">
  <dimension ref="B4:B9"/>
  <sheetViews>
    <sheetView workbookViewId="0">
      <selection activeCell="E18" sqref="E18"/>
    </sheetView>
  </sheetViews>
  <sheetFormatPr defaultRowHeight="14.4" x14ac:dyDescent="0.3"/>
  <sheetData>
    <row r="4" spans="2:2" x14ac:dyDescent="0.3">
      <c r="B4" s="119">
        <v>0.9</v>
      </c>
    </row>
    <row r="5" spans="2:2" x14ac:dyDescent="0.3">
      <c r="B5">
        <v>1</v>
      </c>
    </row>
    <row r="6" spans="2:2" x14ac:dyDescent="0.3">
      <c r="B6">
        <v>4</v>
      </c>
    </row>
    <row r="7" spans="2:2" x14ac:dyDescent="0.3">
      <c r="B7">
        <v>16</v>
      </c>
    </row>
    <row r="9" spans="2:2" x14ac:dyDescent="0.3">
      <c r="B9" s="120">
        <f ca="1">_xll.RiskPertAlt((1-B4)/2,B5,"m. likely",B6,(1+B4)/2,B7)</f>
        <v>7.5101789056977717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comments</vt:lpstr>
      <vt:lpstr>ERM (1)</vt:lpstr>
      <vt:lpstr>ERM (2)</vt:lpstr>
      <vt:lpstr>P-L</vt:lpstr>
      <vt:lpstr>Report</vt:lpstr>
      <vt:lpstr>Other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Læssøe</dc:creator>
  <cp:lastModifiedBy>Hans Læssøe</cp:lastModifiedBy>
  <dcterms:created xsi:type="dcterms:W3CDTF">2022-08-22T09:56:49Z</dcterms:created>
  <dcterms:modified xsi:type="dcterms:W3CDTF">2022-09-06T12:32:23Z</dcterms:modified>
</cp:coreProperties>
</file>